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3035" activeTab="7"/>
  </bookViews>
  <sheets>
    <sheet name="Intro" sheetId="1" r:id="rId1"/>
    <sheet name="Massa=m1" sheetId="2" r:id="rId2"/>
    <sheet name="Massa=m2" sheetId="3" r:id="rId3"/>
    <sheet name="Massa=m1+m2" sheetId="4" r:id="rId4"/>
    <sheet name="Massa=m1+m3" sheetId="5" r:id="rId5"/>
    <sheet name="Massa=m2+m3" sheetId="6" r:id="rId6"/>
    <sheet name="Massa=m4+m3" sheetId="7" r:id="rId7"/>
    <sheet name="CONCLUSÕES" sheetId="8" r:id="rId8"/>
  </sheets>
  <definedNames/>
  <calcPr fullCalcOnLoad="1"/>
</workbook>
</file>

<file path=xl/comments1.xml><?xml version="1.0" encoding="utf-8"?>
<comments xmlns="http://schemas.openxmlformats.org/spreadsheetml/2006/main">
  <authors>
    <author>Milton Ruas da Silva</author>
  </authors>
  <commentList>
    <comment ref="A2" authorId="0">
      <text>
        <r>
          <rPr>
            <sz val="8"/>
            <rFont val="Tahoma"/>
            <family val="0"/>
          </rPr>
          <t xml:space="preserve">Parâmetro enviado ao PIC para posicionamento do servomotor.
Este valor corresponde a um ângulo entre -90 (ponto de altura máxima) e +90º (ponto de altura mínima).
</t>
        </r>
      </text>
    </comment>
    <comment ref="B2" authorId="0">
      <text>
        <r>
          <rPr>
            <sz val="8"/>
            <rFont val="Tahoma"/>
            <family val="2"/>
          </rPr>
          <t>O Timer 0 do PIC é usado para controlar o duty-cycle do PWM (o período é controlado pelo Timer 1). Como este timer só gera interrupções após o overflow (0xFF-&gt;0x00) a duração do impulso é definida pelo valor inicial do contador: quanto maior é o valor inicial, menor é a duração do impulso.
Note que estes valores são inferiores a 256 pois o registo do contador do Timer 0 é de apenas 8 bits.</t>
        </r>
      </text>
    </comment>
    <comment ref="C2" authorId="0">
      <text>
        <r>
          <rPr>
            <sz val="8"/>
            <rFont val="Tahoma"/>
            <family val="2"/>
          </rPr>
          <t>Predição do valor inicial do contador do Timer 0. Este valor pode ser determinado a partir do conhecimento da gama de duty-cycle do servo e do modo de funcionamento do PIC.
Para mais pormenores, veja o programa usado para gerar o PWM.</t>
        </r>
      </text>
    </comment>
    <comment ref="D2" authorId="0">
      <text>
        <r>
          <rPr>
            <sz val="8"/>
            <rFont val="Tahoma"/>
            <family val="0"/>
          </rPr>
          <t xml:space="preserve">Comparação entre o valor inicial do Timer 0 e o esperado.
Se todos os valores são nulos, o gerador de PWM está a funcionar conforme o previsto.
</t>
        </r>
      </text>
    </comment>
    <comment ref="E2" authorId="0">
      <text>
        <r>
          <rPr>
            <sz val="8"/>
            <rFont val="Tahoma"/>
            <family val="2"/>
          </rPr>
          <t>Na determinação do valor inicial do Timer 0, correspondente ao ângulo pedido, vários arredondamentos são feitos por divisões inteiras. Isso faz com que o ângulo associado ao PWM gerado não seja igual ao pedido pelo utilizador.
Nesta coluna, é feito o cálculo inverso a partir do valor inicial do Timer para obter o ângulo exacto.</t>
        </r>
      </text>
    </comment>
    <comment ref="F2" authorId="0">
      <text>
        <r>
          <rPr>
            <sz val="8"/>
            <rFont val="Tahoma"/>
            <family val="2"/>
          </rPr>
          <t>Erro entre o ângulo solicitado e o valor associado ao PWM gerado pelo PIC.</t>
        </r>
      </text>
    </comment>
    <comment ref="G2" authorId="0">
      <text>
        <r>
          <rPr>
            <sz val="8"/>
            <rFont val="Tahoma"/>
            <family val="2"/>
          </rPr>
          <t>Valor do potenciómetro interno do servomotor para as várias posições.</t>
        </r>
      </text>
    </comment>
    <comment ref="H2" authorId="0">
      <text>
        <r>
          <rPr>
            <sz val="8"/>
            <rFont val="Tahoma"/>
            <family val="2"/>
          </rPr>
          <t>A partir dos valores do potenciómetro (V) para as diversas posições, uma regressão linear pode ser traçada, obtendo-se o correspondente declice (m) e ordenada na origem (b).
Esta coluna apresenta os ângulos do servo utilizando a expressão:
Ângulo=m*V+b</t>
        </r>
      </text>
    </comment>
    <comment ref="I2" authorId="0">
      <text>
        <r>
          <rPr>
            <sz val="8"/>
            <rFont val="Tahoma"/>
            <family val="2"/>
          </rPr>
          <t>Comparação entre a posição efectiva do servo e a obtida pela regressão linear.</t>
        </r>
      </text>
    </comment>
    <comment ref="M2" authorId="0">
      <text>
        <r>
          <rPr>
            <sz val="8"/>
            <rFont val="Tahoma"/>
            <family val="2"/>
          </rPr>
          <t>Frequência de execução de instruções no PIC em MegaHertz. Este valor corresponde a 1/4 da frequência do cristal.</t>
        </r>
      </text>
    </comment>
    <comment ref="K2" authorId="0">
      <text>
        <r>
          <rPr>
            <sz val="8"/>
            <rFont val="Tahoma"/>
            <family val="2"/>
          </rPr>
          <t>Frequência de execução de instruções no PIC em MegaHertz. Este valor corresponde a 1/4 da frequência do cristal.</t>
        </r>
      </text>
    </comment>
    <comment ref="K4" authorId="0">
      <text>
        <r>
          <rPr>
            <sz val="8"/>
            <rFont val="Tahoma"/>
            <family val="2"/>
          </rPr>
          <t>Duty-cycle mínimo do servo em microsegundos.
Este valor corresponde à posição -90º (ponto de altura máxima).</t>
        </r>
      </text>
    </comment>
    <comment ref="K5" authorId="0">
      <text>
        <r>
          <rPr>
            <sz val="8"/>
            <rFont val="Tahoma"/>
            <family val="2"/>
          </rPr>
          <t>Duty-cycle máximo do servo em microsegundos.
Este valor corresponde à posição +90º (ponto de altura mínima).</t>
        </r>
      </text>
    </comment>
    <comment ref="K6" authorId="0">
      <text>
        <r>
          <rPr>
            <sz val="8"/>
            <rFont val="Tahoma"/>
            <family val="2"/>
          </rPr>
          <t>Gama de deslocamento do servo para meia volta.
Se o servo é capaz de percorrer um deslocamento total de 180º (-90 a +90º), este valor deve ser 90!</t>
        </r>
      </text>
    </comment>
    <comment ref="K8" authorId="0">
      <text>
        <r>
          <rPr>
            <sz val="8"/>
            <rFont val="Tahoma"/>
            <family val="2"/>
          </rPr>
          <t>Prescaler definido para o Timer 0.
Este valor deve corresponder ao mesmo usado no programa de controlo.</t>
        </r>
      </text>
    </comment>
    <comment ref="K9" authorId="0">
      <text>
        <r>
          <rPr>
            <sz val="8"/>
            <rFont val="Tahoma"/>
            <family val="2"/>
          </rPr>
          <t>Valor inicial do contador do Timer 0, correspondente ao ponto de duty-cycle mínimo (posição -90º).</t>
        </r>
      </text>
    </comment>
    <comment ref="K10" authorId="0">
      <text>
        <r>
          <rPr>
            <sz val="8"/>
            <rFont val="Tahoma"/>
            <family val="2"/>
          </rPr>
          <t>Valor inicial do contador do Timer 0, correspondente ao ponto de duty-cycle máximo (posição +90º).</t>
        </r>
      </text>
    </comment>
    <comment ref="M4" authorId="0">
      <text>
        <r>
          <rPr>
            <sz val="8"/>
            <rFont val="Tahoma"/>
            <family val="2"/>
          </rPr>
          <t>Informações de funcionamento do servomotor.</t>
        </r>
      </text>
    </comment>
    <comment ref="M8" authorId="0">
      <text>
        <r>
          <rPr>
            <sz val="8"/>
            <rFont val="Tahoma"/>
            <family val="2"/>
          </rPr>
          <t>Configurações do Timer 0 do PIC.</t>
        </r>
      </text>
    </comment>
    <comment ref="K21" authorId="0">
      <text>
        <r>
          <rPr>
            <sz val="8"/>
            <rFont val="Tahoma"/>
            <family val="2"/>
          </rPr>
          <t>Massa do peso + massa do varão.</t>
        </r>
      </text>
    </comment>
    <comment ref="K22" authorId="0">
      <text>
        <r>
          <rPr>
            <sz val="8"/>
            <rFont val="Tahoma"/>
            <family val="0"/>
          </rPr>
          <t>Massa do peso + massa do varão.</t>
        </r>
      </text>
    </comment>
    <comment ref="K23" authorId="0">
      <text>
        <r>
          <rPr>
            <sz val="8"/>
            <rFont val="Tahoma"/>
            <family val="0"/>
          </rPr>
          <t>Massa do peso + massa do varão.</t>
        </r>
      </text>
    </comment>
    <comment ref="K24" authorId="0">
      <text>
        <r>
          <rPr>
            <sz val="8"/>
            <rFont val="Tahoma"/>
            <family val="0"/>
          </rPr>
          <t>Massa do peso + massa do varão.</t>
        </r>
      </text>
    </comment>
    <comment ref="K14" authorId="0">
      <text>
        <r>
          <rPr>
            <sz val="8"/>
            <rFont val="Tahoma"/>
            <family val="0"/>
          </rPr>
          <t>Comprimento do braço que liga o eixo do servo ao peso.</t>
        </r>
      </text>
    </comment>
    <comment ref="K13" authorId="0">
      <text>
        <r>
          <rPr>
            <sz val="8"/>
            <rFont val="Tahoma"/>
            <family val="0"/>
          </rPr>
          <t>Aceleração da gravidade</t>
        </r>
      </text>
    </comment>
    <comment ref="M13" authorId="0">
      <text>
        <r>
          <rPr>
            <sz val="8"/>
            <rFont val="Tahoma"/>
            <family val="0"/>
          </rPr>
          <t>Informações descritoras do estado do sistema.</t>
        </r>
      </text>
    </comment>
    <comment ref="H45" authorId="0">
      <text>
        <r>
          <rPr>
            <sz val="8"/>
            <rFont val="Tahoma"/>
            <family val="0"/>
          </rPr>
          <t>Factor de correlação entre os ângulos efectivos do servo e os valores fornecidos pelo poteciómetro interno.</t>
        </r>
      </text>
    </comment>
    <comment ref="H48" authorId="0">
      <text>
        <r>
          <rPr>
            <sz val="8"/>
            <rFont val="Tahoma"/>
            <family val="2"/>
          </rPr>
          <t>Declive m da recta obtida pela regressão linear:
Ângulo=m*V+b</t>
        </r>
      </text>
    </comment>
    <comment ref="H50" authorId="0">
      <text>
        <r>
          <rPr>
            <sz val="8"/>
            <rFont val="Tahoma"/>
            <family val="2"/>
          </rPr>
          <t>Ordenada na origem b da recta obtida pela regressão linear:
Ângulo=m*V+b</t>
        </r>
      </text>
    </comment>
    <comment ref="I41" authorId="0">
      <text>
        <r>
          <rPr>
            <sz val="8"/>
            <rFont val="Tahoma"/>
            <family val="2"/>
          </rPr>
          <t>Erro médio que a regressão linear introduz.</t>
        </r>
      </text>
    </comment>
    <comment ref="K17" authorId="0">
      <text>
        <r>
          <rPr>
            <sz val="8"/>
            <rFont val="Tahoma"/>
            <family val="2"/>
          </rPr>
          <t>Massa do peso</t>
        </r>
      </text>
    </comment>
    <comment ref="K18" authorId="0">
      <text>
        <r>
          <rPr>
            <sz val="8"/>
            <rFont val="Tahoma"/>
            <family val="2"/>
          </rPr>
          <t>Massa do peso</t>
        </r>
      </text>
    </comment>
    <comment ref="K19" authorId="0">
      <text>
        <r>
          <rPr>
            <sz val="8"/>
            <rFont val="Tahoma"/>
            <family val="2"/>
          </rPr>
          <t>Massa do peso</t>
        </r>
      </text>
    </comment>
    <comment ref="K20" authorId="0">
      <text>
        <r>
          <rPr>
            <sz val="8"/>
            <rFont val="Tahoma"/>
            <family val="2"/>
          </rPr>
          <t>Massa do peso</t>
        </r>
      </text>
    </comment>
    <comment ref="K15" authorId="0">
      <text>
        <r>
          <rPr>
            <sz val="8"/>
            <rFont val="Tahoma"/>
            <family val="2"/>
          </rPr>
          <t>Massa do braço que liga o eixo do motor ao peso.</t>
        </r>
      </text>
    </comment>
    <comment ref="K16" authorId="0">
      <text>
        <r>
          <rPr>
            <sz val="8"/>
            <rFont val="Tahoma"/>
            <family val="2"/>
          </rPr>
          <t>Massa do varão que apoia os pesos no braço.</t>
        </r>
      </text>
    </comment>
  </commentList>
</comments>
</file>

<file path=xl/comments2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</t>
        </r>
      </text>
    </comment>
    <comment ref="A3" authorId="0">
      <text>
        <r>
          <rPr>
            <sz val="8"/>
            <rFont val="Tahoma"/>
            <family val="2"/>
          </rPr>
          <t>Posição solicitada ao servo pelo PIC (valor exacto correspondente ao PWM gerado).
Incia-se pelo ponto de altura mínima (+90º) até ao ponto de altura máxima (-90º).</t>
        </r>
      </text>
    </comment>
    <comment ref="B3" authorId="0">
      <text>
        <r>
          <rPr>
            <sz val="8"/>
            <rFont val="Tahoma"/>
            <family val="2"/>
          </rPr>
          <t>Valor fornecido pelo potenciómetro interno do servomotor.</t>
        </r>
      </text>
    </comment>
    <comment ref="C3" authorId="0">
      <text>
        <r>
          <rPr>
            <sz val="8"/>
            <rFont val="Tahoma"/>
            <family val="2"/>
          </rPr>
          <t>Posição efectiva do servo.
Obtido através da regressão linear obtida na folha intro.</t>
        </r>
      </text>
    </comment>
    <comment ref="D3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42" authorId="0">
      <text>
        <r>
          <rPr>
            <sz val="8"/>
            <rFont val="Tahoma"/>
            <family val="2"/>
          </rPr>
          <t>Máximo erro (módulo) entre a posição solicitada e a efectivamente obtida.</t>
        </r>
      </text>
    </comment>
    <comment ref="E3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F3" authorId="0">
      <text>
        <r>
          <rPr>
            <sz val="8"/>
            <rFont val="Tahoma"/>
            <family val="2"/>
          </rPr>
          <t>Binário exercido</t>
        </r>
      </text>
    </comment>
    <comment ref="G3" authorId="0">
      <text>
        <r>
          <rPr>
            <sz val="8"/>
            <rFont val="Tahoma"/>
            <family val="2"/>
          </rPr>
          <t>Corrente consumida pelo conjunto electrónica de controlo+motor.</t>
        </r>
      </text>
    </comment>
    <comment ref="H3" authorId="0">
      <text>
        <r>
          <rPr>
            <sz val="8"/>
            <rFont val="Tahoma"/>
            <family val="2"/>
          </rPr>
          <t>Relação Corrente/Binário</t>
        </r>
      </text>
    </comment>
  </commentList>
</comments>
</file>

<file path=xl/comments3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teste=m2</t>
        </r>
      </text>
    </comment>
    <comment ref="A3" authorId="0">
      <text>
        <r>
          <rPr>
            <sz val="8"/>
            <rFont val="Tahoma"/>
            <family val="2"/>
          </rPr>
          <t>Posição solicitada ao servo pelo PIC (valor exacto correspondente ao PWM gerado).
Incia-se pelo ponto de altura mínima (+90º) até ao ponto de altura máxima (-90º).</t>
        </r>
      </text>
    </comment>
    <comment ref="B3" authorId="0">
      <text>
        <r>
          <rPr>
            <sz val="8"/>
            <rFont val="Tahoma"/>
            <family val="2"/>
          </rPr>
          <t>Valor fornecido pelo potenciómetro interno do servomotor.</t>
        </r>
      </text>
    </comment>
    <comment ref="C3" authorId="0">
      <text>
        <r>
          <rPr>
            <sz val="8"/>
            <rFont val="Tahoma"/>
            <family val="2"/>
          </rPr>
          <t>Posição efectiva do servo.
Obtido através da regressão linear obtida na folha intro.</t>
        </r>
      </text>
    </comment>
    <comment ref="D3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E3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F3" authorId="0">
      <text>
        <r>
          <rPr>
            <sz val="8"/>
            <rFont val="Tahoma"/>
            <family val="2"/>
          </rPr>
          <t>Binário exercido</t>
        </r>
      </text>
    </comment>
    <comment ref="G3" authorId="0">
      <text>
        <r>
          <rPr>
            <sz val="8"/>
            <rFont val="Tahoma"/>
            <family val="2"/>
          </rPr>
          <t>Corrente consumida pelo conjunto electrónica de controlo+motor.</t>
        </r>
      </text>
    </comment>
    <comment ref="H3" authorId="0">
      <text>
        <r>
          <rPr>
            <sz val="8"/>
            <rFont val="Tahoma"/>
            <family val="2"/>
          </rPr>
          <t>Relação Corrente/Binário</t>
        </r>
      </text>
    </comment>
    <comment ref="D42" authorId="0">
      <text>
        <r>
          <rPr>
            <sz val="8"/>
            <rFont val="Tahoma"/>
            <family val="2"/>
          </rPr>
          <t>Máximo erro (módulo) entre a posição solicitada e a efectivamente obtida.</t>
        </r>
      </text>
    </comment>
  </commentList>
</comments>
</file>

<file path=xl/comments4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teste=m1+m2</t>
        </r>
      </text>
    </comment>
    <comment ref="D42" authorId="0">
      <text>
        <r>
          <rPr>
            <sz val="8"/>
            <rFont val="Tahoma"/>
            <family val="2"/>
          </rPr>
          <t>Máximo erro (módulo) entre a posição solicitada e a efectivamente obtida.</t>
        </r>
      </text>
    </comment>
    <comment ref="A3" authorId="0">
      <text>
        <r>
          <rPr>
            <sz val="8"/>
            <rFont val="Tahoma"/>
            <family val="2"/>
          </rPr>
          <t>Posição solicitada ao servo pelo PIC (valor exacto correspondente ao PWM gerado).
Incia-se pelo ponto de altura mínima (+90º) até ao ponto de altura máxima (-90º).</t>
        </r>
      </text>
    </comment>
    <comment ref="B3" authorId="0">
      <text>
        <r>
          <rPr>
            <sz val="8"/>
            <rFont val="Tahoma"/>
            <family val="2"/>
          </rPr>
          <t>Valor fornecido pelo potenciómetro interno do servomotor.</t>
        </r>
      </text>
    </comment>
    <comment ref="C3" authorId="0">
      <text>
        <r>
          <rPr>
            <sz val="8"/>
            <rFont val="Tahoma"/>
            <family val="2"/>
          </rPr>
          <t>Posição efectiva do servo.
Obtido através da regressão linear obtida na folha intro.</t>
        </r>
      </text>
    </comment>
    <comment ref="D3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E3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F3" authorId="0">
      <text>
        <r>
          <rPr>
            <sz val="8"/>
            <rFont val="Tahoma"/>
            <family val="2"/>
          </rPr>
          <t>Binário exercido</t>
        </r>
      </text>
    </comment>
    <comment ref="G3" authorId="0">
      <text>
        <r>
          <rPr>
            <sz val="8"/>
            <rFont val="Tahoma"/>
            <family val="2"/>
          </rPr>
          <t>Corrente consumida pelo conjunto electrónica de controlo+motor.</t>
        </r>
      </text>
    </comment>
    <comment ref="H3" authorId="0">
      <text>
        <r>
          <rPr>
            <sz val="8"/>
            <rFont val="Tahoma"/>
            <family val="2"/>
          </rPr>
          <t>Relação Corrente/Binário</t>
        </r>
      </text>
    </comment>
  </commentList>
</comments>
</file>

<file path=xl/comments5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teste=m1+m3</t>
        </r>
      </text>
    </comment>
    <comment ref="D42" authorId="0">
      <text>
        <r>
          <rPr>
            <sz val="8"/>
            <rFont val="Tahoma"/>
            <family val="2"/>
          </rPr>
          <t>Máximo erro (módulo) entre a posição solicitada e a efectivamente obtida.</t>
        </r>
      </text>
    </comment>
    <comment ref="A3" authorId="0">
      <text>
        <r>
          <rPr>
            <sz val="8"/>
            <rFont val="Tahoma"/>
            <family val="2"/>
          </rPr>
          <t>Posição solicitada ao servo pelo PIC (valor exacto correspondente ao PWM gerado).
Incia-se pelo ponto de altura mínima (+90º) até ao ponto de altura máxima (-90º).</t>
        </r>
      </text>
    </comment>
    <comment ref="B3" authorId="0">
      <text>
        <r>
          <rPr>
            <sz val="8"/>
            <rFont val="Tahoma"/>
            <family val="2"/>
          </rPr>
          <t>Valor fornecido pelo potenciómetro interno do servomotor.</t>
        </r>
      </text>
    </comment>
    <comment ref="C3" authorId="0">
      <text>
        <r>
          <rPr>
            <sz val="8"/>
            <rFont val="Tahoma"/>
            <family val="2"/>
          </rPr>
          <t>Posição efectiva do servo.
Obtido através da regressão linear obtida na folha intro.</t>
        </r>
      </text>
    </comment>
    <comment ref="D3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E3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F3" authorId="0">
      <text>
        <r>
          <rPr>
            <sz val="8"/>
            <rFont val="Tahoma"/>
            <family val="2"/>
          </rPr>
          <t>Binário exercido</t>
        </r>
      </text>
    </comment>
    <comment ref="G3" authorId="0">
      <text>
        <r>
          <rPr>
            <sz val="8"/>
            <rFont val="Tahoma"/>
            <family val="2"/>
          </rPr>
          <t>Corrente consumida pelo conjunto electrónica de controlo+motor.</t>
        </r>
      </text>
    </comment>
    <comment ref="H3" authorId="0">
      <text>
        <r>
          <rPr>
            <sz val="8"/>
            <rFont val="Tahoma"/>
            <family val="2"/>
          </rPr>
          <t>Relação Corrente/Binário</t>
        </r>
      </text>
    </comment>
  </commentList>
</comments>
</file>

<file path=xl/comments6.xml><?xml version="1.0" encoding="utf-8"?>
<comments xmlns="http://schemas.openxmlformats.org/spreadsheetml/2006/main">
  <authors>
    <author>Milton Ruas da Silva</author>
  </authors>
  <commentList>
    <comment ref="D42" authorId="0">
      <text>
        <r>
          <rPr>
            <sz val="8"/>
            <rFont val="Tahoma"/>
            <family val="2"/>
          </rPr>
          <t>Máximo erro (módulo) entre a posição solicitada e a efectivamente obtida.</t>
        </r>
      </text>
    </comment>
    <comment ref="A3" authorId="0">
      <text>
        <r>
          <rPr>
            <sz val="8"/>
            <rFont val="Tahoma"/>
            <family val="2"/>
          </rPr>
          <t>Posição solicitada ao servo pelo PIC (valor exacto correspondente ao PWM gerado).
Incia-se pelo ponto de altura mínima (+90º) até ao ponto de altura máxima (-90º).</t>
        </r>
      </text>
    </comment>
    <comment ref="B3" authorId="0">
      <text>
        <r>
          <rPr>
            <sz val="8"/>
            <rFont val="Tahoma"/>
            <family val="2"/>
          </rPr>
          <t>Valor fornecido pelo potenciómetro interno do servomotor.</t>
        </r>
      </text>
    </comment>
    <comment ref="C3" authorId="0">
      <text>
        <r>
          <rPr>
            <sz val="8"/>
            <rFont val="Tahoma"/>
            <family val="2"/>
          </rPr>
          <t>Posição efectiva do servo.
Obtido através da regressão linear obtida na folha intro.</t>
        </r>
      </text>
    </comment>
    <comment ref="D3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E3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F3" authorId="0">
      <text>
        <r>
          <rPr>
            <sz val="8"/>
            <rFont val="Tahoma"/>
            <family val="2"/>
          </rPr>
          <t>Binário exercido</t>
        </r>
      </text>
    </comment>
    <comment ref="G3" authorId="0">
      <text>
        <r>
          <rPr>
            <sz val="8"/>
            <rFont val="Tahoma"/>
            <family val="2"/>
          </rPr>
          <t>Corrente consumida pelo conjunto electrónica de controlo+motor.</t>
        </r>
      </text>
    </comment>
    <comment ref="H3" authorId="0">
      <text>
        <r>
          <rPr>
            <sz val="8"/>
            <rFont val="Tahoma"/>
            <family val="2"/>
          </rPr>
          <t>Relação Corrente/Binário</t>
        </r>
      </text>
    </comment>
    <comment ref="A1" authorId="0">
      <text>
        <r>
          <rPr>
            <b/>
            <sz val="8"/>
            <rFont val="Tahoma"/>
            <family val="0"/>
          </rPr>
          <t>Massa de teste=m2+m3</t>
        </r>
      </text>
    </comment>
  </commentList>
</comments>
</file>

<file path=xl/comments7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teste=m4+m3</t>
        </r>
      </text>
    </comment>
    <comment ref="D42" authorId="0">
      <text>
        <r>
          <rPr>
            <sz val="8"/>
            <rFont val="Tahoma"/>
            <family val="2"/>
          </rPr>
          <t>Máximo erro (módulo) entre a posição solicitada e a efectivamente obtida.</t>
        </r>
      </text>
    </comment>
    <comment ref="A3" authorId="0">
      <text>
        <r>
          <rPr>
            <sz val="8"/>
            <rFont val="Tahoma"/>
            <family val="2"/>
          </rPr>
          <t>Posição solicitada ao servo pelo PIC (valor exacto correspondente ao PWM gerado).
Incia-se pelo ponto de altura mínima (+90º) até ao ponto de altura máxima (-90º).</t>
        </r>
      </text>
    </comment>
    <comment ref="B3" authorId="0">
      <text>
        <r>
          <rPr>
            <sz val="8"/>
            <rFont val="Tahoma"/>
            <family val="2"/>
          </rPr>
          <t>Valor fornecido pelo potenciómetro interno do servomotor.</t>
        </r>
      </text>
    </comment>
    <comment ref="C3" authorId="0">
      <text>
        <r>
          <rPr>
            <sz val="8"/>
            <rFont val="Tahoma"/>
            <family val="2"/>
          </rPr>
          <t>Posição efectiva do servo.
Obtido através da regressão linear obtida na folha intro.</t>
        </r>
      </text>
    </comment>
    <comment ref="D3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E3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F3" authorId="0">
      <text>
        <r>
          <rPr>
            <sz val="8"/>
            <rFont val="Tahoma"/>
            <family val="2"/>
          </rPr>
          <t>Binário exercido</t>
        </r>
      </text>
    </comment>
    <comment ref="G3" authorId="0">
      <text>
        <r>
          <rPr>
            <sz val="8"/>
            <rFont val="Tahoma"/>
            <family val="2"/>
          </rPr>
          <t>Corrente consumida pelo conjunto electrónica de controlo+motor.</t>
        </r>
      </text>
    </comment>
    <comment ref="H3" authorId="0">
      <text>
        <r>
          <rPr>
            <sz val="8"/>
            <rFont val="Tahoma"/>
            <family val="2"/>
          </rPr>
          <t>Relação Corrente/Binário</t>
        </r>
      </text>
    </comment>
  </commentList>
</comments>
</file>

<file path=xl/sharedStrings.xml><?xml version="1.0" encoding="utf-8"?>
<sst xmlns="http://schemas.openxmlformats.org/spreadsheetml/2006/main" count="104" uniqueCount="55">
  <si>
    <t>Ângulo (servo)</t>
  </si>
  <si>
    <t>Valor inicial do Timer0</t>
  </si>
  <si>
    <t>F_CPU (MHz)</t>
  </si>
  <si>
    <t>KT0_MIN</t>
  </si>
  <si>
    <t>KT0_MAX</t>
  </si>
  <si>
    <t>T0_PRESCALER</t>
  </si>
  <si>
    <t>Valor esperado de T0</t>
  </si>
  <si>
    <t>SERVO_DUTY_MIN (us)</t>
  </si>
  <si>
    <t>SERVO_DUTY_MAX (us)</t>
  </si>
  <si>
    <t>SERVO_RANGE (º)</t>
  </si>
  <si>
    <t>Erro</t>
  </si>
  <si>
    <t>Erro (T0)</t>
  </si>
  <si>
    <t>Ângulo real (servo)</t>
  </si>
  <si>
    <t>V (Potencióm.) em vazio</t>
  </si>
  <si>
    <t>Correlação:</t>
  </si>
  <si>
    <t>V (pot)</t>
  </si>
  <si>
    <t>Declive da função inversa:</t>
  </si>
  <si>
    <t>Origem da função inversa:</t>
  </si>
  <si>
    <t>Posição</t>
  </si>
  <si>
    <t>Ângulo a partir da regressão</t>
  </si>
  <si>
    <t>Erro da regressão</t>
  </si>
  <si>
    <t>Erro médio:</t>
  </si>
  <si>
    <t>Características do Servo</t>
  </si>
  <si>
    <t>Dados do Timer 0</t>
  </si>
  <si>
    <t>Frequência de instrução</t>
  </si>
  <si>
    <t>Dados do PIC</t>
  </si>
  <si>
    <t>Ângulo=f(Vpot)</t>
  </si>
  <si>
    <t>Ângulo pedido</t>
  </si>
  <si>
    <t>Desvio Máximo:</t>
  </si>
  <si>
    <t>m=m1:</t>
  </si>
  <si>
    <t>g (m/s2)</t>
  </si>
  <si>
    <t>L (m)</t>
  </si>
  <si>
    <t>Mais alguns dados</t>
  </si>
  <si>
    <t>Posição do pêndulo</t>
  </si>
  <si>
    <t>T (N.m2)</t>
  </si>
  <si>
    <t>I (A)</t>
  </si>
  <si>
    <t>m=m2:</t>
  </si>
  <si>
    <t>I/T</t>
  </si>
  <si>
    <t>m=m1+m2:</t>
  </si>
  <si>
    <t>m1 (Kg)</t>
  </si>
  <si>
    <t>m2 (Kg)</t>
  </si>
  <si>
    <t>m3 (Kg)</t>
  </si>
  <si>
    <t>m4 (Kg)</t>
  </si>
  <si>
    <t>m=m1+m3:</t>
  </si>
  <si>
    <t>m=m2+m3:</t>
  </si>
  <si>
    <t>m=m4+m3:</t>
  </si>
  <si>
    <t>Erro do ângulo</t>
  </si>
  <si>
    <t>m1 total (Kg)</t>
  </si>
  <si>
    <t>m2 total (Kg)</t>
  </si>
  <si>
    <t>m3 total (Kg)</t>
  </si>
  <si>
    <t>m4 total (Kg)</t>
  </si>
  <si>
    <t>massa do braço</t>
  </si>
  <si>
    <t>massa do varão</t>
  </si>
  <si>
    <t>Conslusões na folha de cálculo CONCLUSÕES</t>
  </si>
  <si>
    <t>ANÁLISE DE RESULTADOS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</si>
</sst>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165" fontId="0" fillId="2" borderId="0" xfId="0" applyNumberFormat="1" applyFill="1" applyAlignment="1">
      <alignment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top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0" borderId="0" xfId="0" applyFont="1" applyBorder="1" applyAlignment="1">
      <alignment horizontal="center" vertical="top" readingOrder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Intro!$G$2</c:f>
              <c:strCache>
                <c:ptCount val="1"/>
                <c:pt idx="0">
                  <c:v>V (Potencióm.) em vazio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Intro!$E$3:$E$39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Intro!$G$3:$G$39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64316643"/>
        <c:axId val="41978876"/>
      </c:scatterChart>
      <c:val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Ângulo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crossBetween val="midCat"/>
        <c:dispUnits/>
      </c:valAx>
      <c:valAx>
        <c:axId val="41978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16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/ 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875"/>
          <c:w val="0.97625"/>
          <c:h val="0.8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'Massa=m1+m2'!$H$3</c:f>
              <c:strCache>
                <c:ptCount val="1"/>
                <c:pt idx="0">
                  <c:v>I/T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'Massa=m1+m2'!$C$4:$C$40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'Massa=m1+m2'!$H$4:$H$40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466733"/>
        <c:axId val="40200598"/>
      </c:scatterChart>
      <c:valAx>
        <c:axId val="446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00598"/>
        <c:crosses val="autoZero"/>
        <c:crossBetween val="midCat"/>
        <c:dispUnits/>
      </c:valAx>
      <c:valAx>
        <c:axId val="4020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67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Relação entre o ângulo pedido e o verificado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'Massa=m1+m3'!$C$3</c:f>
              <c:strCache>
                <c:ptCount val="1"/>
                <c:pt idx="0">
                  <c:v>Posição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'Massa=m1+m3'!$A$4:$A$40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'Massa=m1+m3'!$C$4:$C$40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'Massa=m1+m3'!$A$3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'Massa=m1+m3'!$A$4:$A$40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'Massa=m1+m3'!$A$4:$A$40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26261063"/>
        <c:axId val="35022976"/>
      </c:scatterChart>
      <c:valAx>
        <c:axId val="262610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022976"/>
        <c:crosses val="autoZero"/>
        <c:crossBetween val="midCat"/>
        <c:dispUnits/>
      </c:valAx>
      <c:valAx>
        <c:axId val="35022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Ângulo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61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Corrente consumida &amp; Binário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'Massa=m1+m3'!$G$3</c:f>
              <c:strCache>
                <c:ptCount val="1"/>
                <c:pt idx="0">
                  <c:v>I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'Massa=m1+m3'!$C$4:$C$40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'Massa=m1+m3'!$G$4:$G$40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'Massa=m1+m3'!$F$3</c:f>
              <c:strCache>
                <c:ptCount val="1"/>
                <c:pt idx="0">
                  <c:v>T (N.m2)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'Massa=m1+m3'!$C$4:$C$40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'Massa=m1+m3'!$F$4:$F$40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6771329"/>
        <c:axId val="18288778"/>
      </c:scatterChart>
      <c:valAx>
        <c:axId val="4677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88778"/>
        <c:crosses val="autoZero"/>
        <c:crossBetween val="midCat"/>
        <c:dispUnits/>
      </c:valAx>
      <c:valAx>
        <c:axId val="18288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71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/ 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875"/>
          <c:w val="0.97625"/>
          <c:h val="0.8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'Massa=m1+m3'!$H$3</c:f>
              <c:strCache>
                <c:ptCount val="1"/>
                <c:pt idx="0">
                  <c:v>I/T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'Massa=m1+m3'!$C$4:$C$40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'Massa=m1+m3'!$H$4:$H$40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30381275"/>
        <c:axId val="4996020"/>
      </c:scatterChart>
      <c:valAx>
        <c:axId val="30381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6020"/>
        <c:crosses val="autoZero"/>
        <c:crossBetween val="midCat"/>
        <c:dispUnits/>
      </c:valAx>
      <c:valAx>
        <c:axId val="4996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81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Relação entre o ângulo pedido e o verificado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'Massa=m2+m3'!$C$3</c:f>
              <c:strCache>
                <c:ptCount val="1"/>
                <c:pt idx="0">
                  <c:v>Posição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'Massa=m2+m3'!$A$4:$A$40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'Massa=m2+m3'!$C$4:$C$40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'Massa=m2+m3'!$A$3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'Massa=m2+m3'!$A$4:$A$40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'Massa=m2+m3'!$A$4:$A$40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4964181"/>
        <c:axId val="2024446"/>
      </c:scatterChart>
      <c:valAx>
        <c:axId val="44964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24446"/>
        <c:crosses val="autoZero"/>
        <c:crossBetween val="midCat"/>
        <c:dispUnits/>
      </c:valAx>
      <c:valAx>
        <c:axId val="202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Ângulo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64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Corrente consumida &amp; Binário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'Massa=m2+m3'!$G$3</c:f>
              <c:strCache>
                <c:ptCount val="1"/>
                <c:pt idx="0">
                  <c:v>I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'Massa=m2+m3'!$C$4:$C$40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'Massa=m2+m3'!$G$4:$G$40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'Massa=m2+m3'!$F$3</c:f>
              <c:strCache>
                <c:ptCount val="1"/>
                <c:pt idx="0">
                  <c:v>T (N.m2)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'Massa=m2+m3'!$C$4:$C$40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'Massa=m2+m3'!$F$4:$F$40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18220015"/>
        <c:axId val="29762408"/>
      </c:scatterChart>
      <c:val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62408"/>
        <c:crosses val="autoZero"/>
        <c:crossBetween val="midCat"/>
        <c:dispUnits/>
      </c:valAx>
      <c:valAx>
        <c:axId val="29762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20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/ 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875"/>
          <c:w val="0.97625"/>
          <c:h val="0.8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'Massa=m2+m3'!$H$3</c:f>
              <c:strCache>
                <c:ptCount val="1"/>
                <c:pt idx="0">
                  <c:v>I/T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'Massa=m2+m3'!$C$4:$C$40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'Massa=m2+m3'!$H$4:$H$40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66535081"/>
        <c:axId val="61944818"/>
      </c:scatterChart>
      <c:valAx>
        <c:axId val="665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44818"/>
        <c:crosses val="autoZero"/>
        <c:crossBetween val="midCat"/>
        <c:dispUnits/>
      </c:valAx>
      <c:valAx>
        <c:axId val="61944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35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Relação entre o ângulo pedido e o verificado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'Massa=m4+m3'!$C$3</c:f>
              <c:strCache>
                <c:ptCount val="1"/>
                <c:pt idx="0">
                  <c:v>Posição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'Massa=m4+m3'!$A$4:$A$40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'Massa=m4+m3'!$C$4:$C$40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'Massa=m4+m3'!$A$3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'Massa=m4+m3'!$A$4:$A$40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'Massa=m4+m3'!$A$4:$A$40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20632451"/>
        <c:axId val="51474332"/>
      </c:scatterChart>
      <c:valAx>
        <c:axId val="20632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474332"/>
        <c:crosses val="autoZero"/>
        <c:crossBetween val="midCat"/>
        <c:dispUnits/>
      </c:valAx>
      <c:valAx>
        <c:axId val="5147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Ângulo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32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Corrente consumida &amp; Binário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'Massa=m4+m3'!$G$3</c:f>
              <c:strCache>
                <c:ptCount val="1"/>
                <c:pt idx="0">
                  <c:v>I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'Massa=m4+m3'!$C$4:$C$40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'Massa=m4+m3'!$G$4:$G$40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'Massa=m4+m3'!$F$3</c:f>
              <c:strCache>
                <c:ptCount val="1"/>
                <c:pt idx="0">
                  <c:v>T (N.m2)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'Massa=m4+m3'!$C$4:$C$40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'Massa=m4+m3'!$F$4:$F$40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60615805"/>
        <c:axId val="8671334"/>
      </c:scatterChart>
      <c:valAx>
        <c:axId val="6061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1334"/>
        <c:crosses val="autoZero"/>
        <c:crossBetween val="midCat"/>
        <c:dispUnits/>
      </c:valAx>
      <c:valAx>
        <c:axId val="8671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58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/ 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875"/>
          <c:w val="0.97625"/>
          <c:h val="0.8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'Massa=m4+m3'!$H$3</c:f>
              <c:strCache>
                <c:ptCount val="1"/>
                <c:pt idx="0">
                  <c:v>I/T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'Massa=m4+m3'!$C$4:$C$40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'Massa=m4+m3'!$H$4:$H$40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10933143"/>
        <c:axId val="31289424"/>
      </c:scatterChart>
      <c:valAx>
        <c:axId val="1093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89424"/>
        <c:crosses val="autoZero"/>
        <c:crossBetween val="midCat"/>
        <c:dispUnits/>
      </c:valAx>
      <c:valAx>
        <c:axId val="31289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33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Relação entre o ângulo pedido e o verificado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'Massa=m1'!$C$3</c:f>
              <c:strCache>
                <c:ptCount val="1"/>
                <c:pt idx="0">
                  <c:v>Posição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'Massa=m1'!$C$4:$C$40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'Massa=m1'!$A$3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'Massa=m1'!$A$4:$A$40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2265565"/>
        <c:axId val="44845766"/>
      </c:scatterChart>
      <c:valAx>
        <c:axId val="42265565"/>
        <c:scaling>
          <c:orientation val="minMax"/>
        </c:scaling>
        <c:axPos val="b"/>
        <c:delete val="1"/>
        <c:majorTickMark val="out"/>
        <c:minorTickMark val="none"/>
        <c:tickLblPos val="nextTo"/>
        <c:crossAx val="44845766"/>
        <c:crosses val="autoZero"/>
        <c:crossBetween val="midCat"/>
        <c:dispUnits/>
      </c:valAx>
      <c:valAx>
        <c:axId val="4484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Ângulo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65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Corrente consumida &amp; Binário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'Massa=m1'!$G$3</c:f>
              <c:strCache>
                <c:ptCount val="1"/>
                <c:pt idx="0">
                  <c:v>I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'Massa=m1'!$C$4:$C$40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'Massa=m1'!$G$4:$G$40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'Massa=m1'!$F$3</c:f>
              <c:strCache>
                <c:ptCount val="1"/>
                <c:pt idx="0">
                  <c:v>T (N.m2)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'Massa=m1'!$C$4:$C$40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'Massa=m1'!$F$4:$F$40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958711"/>
        <c:axId val="8628400"/>
      </c:scatterChart>
      <c:valAx>
        <c:axId val="95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28400"/>
        <c:crosses val="autoZero"/>
        <c:crossBetween val="midCat"/>
        <c:dispUnits/>
      </c:valAx>
      <c:valAx>
        <c:axId val="8628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8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/ 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875"/>
          <c:w val="0.97625"/>
          <c:h val="0.8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'Massa=m1'!$H$3</c:f>
              <c:strCache>
                <c:ptCount val="1"/>
                <c:pt idx="0">
                  <c:v>I/T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'Massa=m1'!$C$4:$C$40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'Massa=m1'!$H$4:$H$40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10546737"/>
        <c:axId val="27811770"/>
      </c:scatterChart>
      <c:valAx>
        <c:axId val="1054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11770"/>
        <c:crosses val="autoZero"/>
        <c:crossBetween val="midCat"/>
        <c:dispUnits/>
      </c:valAx>
      <c:valAx>
        <c:axId val="27811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46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Relação entre o ângulo pedido e o verificado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'Massa=m2'!$C$3</c:f>
              <c:strCache>
                <c:ptCount val="1"/>
                <c:pt idx="0">
                  <c:v>Posição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'Massa=m2'!$C$4:$C$40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'Massa=m2'!$A$3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'Massa=m2'!$A$4:$A$40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8979339"/>
        <c:axId val="38160868"/>
      </c:scatterChart>
      <c:valAx>
        <c:axId val="48979339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0868"/>
        <c:crosses val="autoZero"/>
        <c:crossBetween val="midCat"/>
        <c:dispUnits/>
      </c:valAx>
      <c:valAx>
        <c:axId val="381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Ângulo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79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Corrente consumida &amp; Binário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'Massa=m2'!$G$3</c:f>
              <c:strCache>
                <c:ptCount val="1"/>
                <c:pt idx="0">
                  <c:v>I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'Massa=m2'!$C$4:$C$40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'Massa=m2'!$G$4:$G$40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'Massa=m2'!$F$3</c:f>
              <c:strCache>
                <c:ptCount val="1"/>
                <c:pt idx="0">
                  <c:v>T (N.m2)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'Massa=m2'!$C$4:$C$40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'Massa=m2'!$F$4:$F$40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7903493"/>
        <c:axId val="4022574"/>
      </c:scatterChart>
      <c:val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2574"/>
        <c:crosses val="autoZero"/>
        <c:crossBetween val="midCat"/>
        <c:dispUnits/>
      </c:valAx>
      <c:valAx>
        <c:axId val="4022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03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/ 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875"/>
          <c:w val="0.97625"/>
          <c:h val="0.8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'Massa=m2'!$H$3</c:f>
              <c:strCache>
                <c:ptCount val="1"/>
                <c:pt idx="0">
                  <c:v>I/T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'Massa=m2'!$C$4:$C$40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'Massa=m2'!$H$4:$H$40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36203167"/>
        <c:axId val="57393048"/>
      </c:scatterChart>
      <c:val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93048"/>
        <c:crosses val="autoZero"/>
        <c:crossBetween val="midCat"/>
        <c:dispUnits/>
      </c:valAx>
      <c:valAx>
        <c:axId val="57393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3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Relação entre o ângulo pedido e o verificado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'Massa=m1+m2'!$C$3</c:f>
              <c:strCache>
                <c:ptCount val="1"/>
                <c:pt idx="0">
                  <c:v>Posição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'Massa=m1+m2'!$C$4:$C$40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'Massa=m1+m2'!$A$3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'Massa=m1+m2'!$A$4:$A$40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6775385"/>
        <c:axId val="18325282"/>
      </c:scatterChart>
      <c:valAx>
        <c:axId val="4677538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325282"/>
        <c:crosses val="autoZero"/>
        <c:crossBetween val="midCat"/>
        <c:dispUnits/>
      </c:valAx>
      <c:valAx>
        <c:axId val="1832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Ângulo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753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Corrente consumida &amp; Binário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'Massa=m1+m2'!$G$3</c:f>
              <c:strCache>
                <c:ptCount val="1"/>
                <c:pt idx="0">
                  <c:v>I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'Massa=m1+m2'!$C$4:$C$40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'Massa=m1+m2'!$G$4:$G$40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'Massa=m1+m2'!$F$3</c:f>
              <c:strCache>
                <c:ptCount val="1"/>
                <c:pt idx="0">
                  <c:v>T (N.m2)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'Massa=m1+m2'!$C$4:$C$40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'Massa=m1+m2'!$F$4:$F$40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30709811"/>
        <c:axId val="7952844"/>
      </c:scatterChart>
      <c:valAx>
        <c:axId val="3070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Posição real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52844"/>
        <c:crosses val="autoZero"/>
        <c:crossBetween val="midCat"/>
        <c:dispUnits/>
      </c:valAx>
      <c:valAx>
        <c:axId val="7952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09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19050</xdr:rowOff>
    </xdr:from>
    <xdr:to>
      <xdr:col>7</xdr:col>
      <xdr:colOff>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171450" y="7143750"/>
        <a:ext cx="7200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114300</xdr:colOff>
      <xdr:row>52</xdr:row>
      <xdr:rowOff>47625</xdr:rowOff>
    </xdr:from>
    <xdr:ext cx="3743325" cy="3457575"/>
    <xdr:sp>
      <xdr:nvSpPr>
        <xdr:cNvPr id="2" name="TextBox 38"/>
        <xdr:cNvSpPr txBox="1">
          <a:spLocks noChangeArrowheads="1"/>
        </xdr:cNvSpPr>
      </xdr:nvSpPr>
      <xdr:spPr>
        <a:xfrm>
          <a:off x="7486650" y="8467725"/>
          <a:ext cx="3743325" cy="3457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Análise da Regressão Linear: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 obtenção de uma função da forma y=m*x+b, resultante de uma regressão linear, que descreve a relação da posição do servo (ângulo) com a tensão do seu potenciómetro interno, permite-nos no futuro comparar as posições verificadas pelo servo para determinados pesos com as solicitadas pelo PIC. Note que as posições do servo não são directamente mensuráveis, mas são obtidas a partir da tensão do potenciómetro, daí a necessidade de uma função que nos dê a posição em função da tensão.
Analisando a relação entre a posição do servo em vazio e o valor do potenciómetro interno, podemos observar a linearidade entre estes dois conjuntos de valores, confirmado pelo facto do seu factor de correlação ser muito próximo de 1.
Determinando o declive e a ordenada na origem resultante da regressão linear, e comparando os valores angulares provenientes da função ângulo=m*V+b com os ângulos efectivos do servo, pode-se observar um erro médio, em módulo, de 0.172º o que confirma a elevada exactidão que a regressão linear oferece.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44</xdr:row>
      <xdr:rowOff>47625</xdr:rowOff>
    </xdr:from>
    <xdr:to>
      <xdr:col>6</xdr:col>
      <xdr:colOff>428625</xdr:colOff>
      <xdr:row>69</xdr:row>
      <xdr:rowOff>28575</xdr:rowOff>
    </xdr:to>
    <xdr:graphicFrame>
      <xdr:nvGraphicFramePr>
        <xdr:cNvPr id="1" name="Chart 2"/>
        <xdr:cNvGraphicFramePr/>
      </xdr:nvGraphicFramePr>
      <xdr:xfrm>
        <a:off x="152400" y="7172325"/>
        <a:ext cx="50101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2</xdr:row>
      <xdr:rowOff>9525</xdr:rowOff>
    </xdr:from>
    <xdr:to>
      <xdr:col>22</xdr:col>
      <xdr:colOff>28575</xdr:colOff>
      <xdr:row>26</xdr:row>
      <xdr:rowOff>152400</xdr:rowOff>
    </xdr:to>
    <xdr:graphicFrame>
      <xdr:nvGraphicFramePr>
        <xdr:cNvPr id="2" name="Chart 3"/>
        <xdr:cNvGraphicFramePr/>
      </xdr:nvGraphicFramePr>
      <xdr:xfrm>
        <a:off x="6391275" y="333375"/>
        <a:ext cx="81248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428625</xdr:colOff>
      <xdr:row>29</xdr:row>
      <xdr:rowOff>9525</xdr:rowOff>
    </xdr:from>
    <xdr:to>
      <xdr:col>22</xdr:col>
      <xdr:colOff>38100</xdr:colOff>
      <xdr:row>58</xdr:row>
      <xdr:rowOff>123825</xdr:rowOff>
    </xdr:to>
    <xdr:graphicFrame>
      <xdr:nvGraphicFramePr>
        <xdr:cNvPr id="3" name="Chart 4"/>
        <xdr:cNvGraphicFramePr/>
      </xdr:nvGraphicFramePr>
      <xdr:xfrm>
        <a:off x="6381750" y="4705350"/>
        <a:ext cx="81438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44</xdr:row>
      <xdr:rowOff>47625</xdr:rowOff>
    </xdr:from>
    <xdr:to>
      <xdr:col>8</xdr:col>
      <xdr:colOff>85725</xdr:colOff>
      <xdr:row>69</xdr:row>
      <xdr:rowOff>28575</xdr:rowOff>
    </xdr:to>
    <xdr:graphicFrame>
      <xdr:nvGraphicFramePr>
        <xdr:cNvPr id="1" name="Chart 1"/>
        <xdr:cNvGraphicFramePr/>
      </xdr:nvGraphicFramePr>
      <xdr:xfrm>
        <a:off x="152400" y="7172325"/>
        <a:ext cx="5905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2</xdr:row>
      <xdr:rowOff>9525</xdr:rowOff>
    </xdr:from>
    <xdr:to>
      <xdr:col>22</xdr:col>
      <xdr:colOff>28575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6410325" y="333375"/>
        <a:ext cx="81248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428625</xdr:colOff>
      <xdr:row>29</xdr:row>
      <xdr:rowOff>9525</xdr:rowOff>
    </xdr:from>
    <xdr:to>
      <xdr:col>22</xdr:col>
      <xdr:colOff>38100</xdr:colOff>
      <xdr:row>58</xdr:row>
      <xdr:rowOff>123825</xdr:rowOff>
    </xdr:to>
    <xdr:graphicFrame>
      <xdr:nvGraphicFramePr>
        <xdr:cNvPr id="3" name="Chart 3"/>
        <xdr:cNvGraphicFramePr/>
      </xdr:nvGraphicFramePr>
      <xdr:xfrm>
        <a:off x="6400800" y="4705350"/>
        <a:ext cx="81438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44</xdr:row>
      <xdr:rowOff>47625</xdr:rowOff>
    </xdr:from>
    <xdr:to>
      <xdr:col>8</xdr:col>
      <xdr:colOff>85725</xdr:colOff>
      <xdr:row>69</xdr:row>
      <xdr:rowOff>28575</xdr:rowOff>
    </xdr:to>
    <xdr:graphicFrame>
      <xdr:nvGraphicFramePr>
        <xdr:cNvPr id="1" name="Chart 1"/>
        <xdr:cNvGraphicFramePr/>
      </xdr:nvGraphicFramePr>
      <xdr:xfrm>
        <a:off x="152400" y="7172325"/>
        <a:ext cx="5905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2</xdr:row>
      <xdr:rowOff>9525</xdr:rowOff>
    </xdr:from>
    <xdr:to>
      <xdr:col>22</xdr:col>
      <xdr:colOff>28575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6410325" y="333375"/>
        <a:ext cx="81248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428625</xdr:colOff>
      <xdr:row>29</xdr:row>
      <xdr:rowOff>9525</xdr:rowOff>
    </xdr:from>
    <xdr:to>
      <xdr:col>22</xdr:col>
      <xdr:colOff>38100</xdr:colOff>
      <xdr:row>58</xdr:row>
      <xdr:rowOff>123825</xdr:rowOff>
    </xdr:to>
    <xdr:graphicFrame>
      <xdr:nvGraphicFramePr>
        <xdr:cNvPr id="3" name="Chart 3"/>
        <xdr:cNvGraphicFramePr/>
      </xdr:nvGraphicFramePr>
      <xdr:xfrm>
        <a:off x="6400800" y="4705350"/>
        <a:ext cx="81438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44</xdr:row>
      <xdr:rowOff>47625</xdr:rowOff>
    </xdr:from>
    <xdr:to>
      <xdr:col>8</xdr:col>
      <xdr:colOff>85725</xdr:colOff>
      <xdr:row>69</xdr:row>
      <xdr:rowOff>28575</xdr:rowOff>
    </xdr:to>
    <xdr:graphicFrame>
      <xdr:nvGraphicFramePr>
        <xdr:cNvPr id="1" name="Chart 1"/>
        <xdr:cNvGraphicFramePr/>
      </xdr:nvGraphicFramePr>
      <xdr:xfrm>
        <a:off x="152400" y="7172325"/>
        <a:ext cx="5905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2</xdr:row>
      <xdr:rowOff>9525</xdr:rowOff>
    </xdr:from>
    <xdr:to>
      <xdr:col>22</xdr:col>
      <xdr:colOff>28575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6410325" y="333375"/>
        <a:ext cx="81248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428625</xdr:colOff>
      <xdr:row>29</xdr:row>
      <xdr:rowOff>9525</xdr:rowOff>
    </xdr:from>
    <xdr:to>
      <xdr:col>22</xdr:col>
      <xdr:colOff>38100</xdr:colOff>
      <xdr:row>58</xdr:row>
      <xdr:rowOff>123825</xdr:rowOff>
    </xdr:to>
    <xdr:graphicFrame>
      <xdr:nvGraphicFramePr>
        <xdr:cNvPr id="3" name="Chart 3"/>
        <xdr:cNvGraphicFramePr/>
      </xdr:nvGraphicFramePr>
      <xdr:xfrm>
        <a:off x="6400800" y="4705350"/>
        <a:ext cx="81438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44</xdr:row>
      <xdr:rowOff>47625</xdr:rowOff>
    </xdr:from>
    <xdr:to>
      <xdr:col>8</xdr:col>
      <xdr:colOff>85725</xdr:colOff>
      <xdr:row>69</xdr:row>
      <xdr:rowOff>28575</xdr:rowOff>
    </xdr:to>
    <xdr:graphicFrame>
      <xdr:nvGraphicFramePr>
        <xdr:cNvPr id="1" name="Chart 1"/>
        <xdr:cNvGraphicFramePr/>
      </xdr:nvGraphicFramePr>
      <xdr:xfrm>
        <a:off x="152400" y="7172325"/>
        <a:ext cx="5905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2</xdr:row>
      <xdr:rowOff>9525</xdr:rowOff>
    </xdr:from>
    <xdr:to>
      <xdr:col>22</xdr:col>
      <xdr:colOff>28575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6410325" y="333375"/>
        <a:ext cx="81248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428625</xdr:colOff>
      <xdr:row>29</xdr:row>
      <xdr:rowOff>9525</xdr:rowOff>
    </xdr:from>
    <xdr:to>
      <xdr:col>22</xdr:col>
      <xdr:colOff>38100</xdr:colOff>
      <xdr:row>58</xdr:row>
      <xdr:rowOff>123825</xdr:rowOff>
    </xdr:to>
    <xdr:graphicFrame>
      <xdr:nvGraphicFramePr>
        <xdr:cNvPr id="3" name="Chart 3"/>
        <xdr:cNvGraphicFramePr/>
      </xdr:nvGraphicFramePr>
      <xdr:xfrm>
        <a:off x="6400800" y="4705350"/>
        <a:ext cx="81438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44</xdr:row>
      <xdr:rowOff>47625</xdr:rowOff>
    </xdr:from>
    <xdr:to>
      <xdr:col>8</xdr:col>
      <xdr:colOff>85725</xdr:colOff>
      <xdr:row>69</xdr:row>
      <xdr:rowOff>28575</xdr:rowOff>
    </xdr:to>
    <xdr:graphicFrame>
      <xdr:nvGraphicFramePr>
        <xdr:cNvPr id="1" name="Chart 1"/>
        <xdr:cNvGraphicFramePr/>
      </xdr:nvGraphicFramePr>
      <xdr:xfrm>
        <a:off x="152400" y="7172325"/>
        <a:ext cx="5905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2</xdr:row>
      <xdr:rowOff>9525</xdr:rowOff>
    </xdr:from>
    <xdr:to>
      <xdr:col>22</xdr:col>
      <xdr:colOff>28575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6410325" y="333375"/>
        <a:ext cx="81248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428625</xdr:colOff>
      <xdr:row>29</xdr:row>
      <xdr:rowOff>9525</xdr:rowOff>
    </xdr:from>
    <xdr:to>
      <xdr:col>22</xdr:col>
      <xdr:colOff>38100</xdr:colOff>
      <xdr:row>58</xdr:row>
      <xdr:rowOff>123825</xdr:rowOff>
    </xdr:to>
    <xdr:graphicFrame>
      <xdr:nvGraphicFramePr>
        <xdr:cNvPr id="3" name="Chart 3"/>
        <xdr:cNvGraphicFramePr/>
      </xdr:nvGraphicFramePr>
      <xdr:xfrm>
        <a:off x="6400800" y="4705350"/>
        <a:ext cx="81438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2</xdr:row>
      <xdr:rowOff>152400</xdr:rowOff>
    </xdr:from>
    <xdr:ext cx="8058150" cy="6581775"/>
    <xdr:sp>
      <xdr:nvSpPr>
        <xdr:cNvPr id="1" name="TextBox 1"/>
        <xdr:cNvSpPr txBox="1">
          <a:spLocks noChangeArrowheads="1"/>
        </xdr:cNvSpPr>
      </xdr:nvSpPr>
      <xdr:spPr>
        <a:xfrm>
          <a:off x="600075" y="476250"/>
          <a:ext cx="8058150" cy="6581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Análise dos resultados com a massa mínima (m=258g) - Folha: "Massa=m1"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Pode-se observar que nas posições de baixo binário (próximas das posição extremas), a corrente consumida é sempre constante e igual a 10mA (entre 10 e 19mA). Como estamos a lidar com um peso pouco significativo quando comparado com o máximo binário do motor, pressupõe-se que, nestas posições, a corrente consumida pelo motor é quase nula, e os 10mA correspondem à corrente consumida pela electrónica de controlo do servo.
Já nas posições de máximo binário (próximas da posição 0) a corrente eleva-se para os 270mA não sofrendo variações significativas. Tal só pode ser justificado pelo facto de a corrente consumida pelo motor não ser significativa comparativamente à consumida pela electrónica. Estes factos levam-nos a concluir que os gráficos que relacionam a corrente com o binário não são muito fiáveis devido à elevada interferência que a electrónica introduz na corrente medida. Tal facto parece ser confirmado pelos estranhos valores que o gráfico da Corrente/Binário nos dá: pela teoria, sabe-se que a relação binário/corrente deveria ser constante, mas tal não é verificado. De modo a resolver esta incongruência, uma ideia seria medir apenas a corrente que o motor consome fazendo um bypass ao circuito de controlo.
Observando o gráfico da relação posição solicitada vs posição efectiva, pode-se verificar um ligeiro offset nos pontos de máximo binário. Este problema será analisado no seguinte parágrafo.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Análise dos resultados com massas intermédias (258g&lt;m&lt;1398g) - "Massa=m1"&lt;Folha&lt;"Massa=m4+m3"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Para os casos com massas intermédias, em que o binário exigido ao motor é superior, já se verifica uma relação entre o binário e a corrente. No entanto, ainda é bastante ténue e apenas se verifica para uma determinada gama de posições. É de concluir que a corrente consumida pela electrónica já começa a ser bastante menor que a consumida unicamente pelo motor, mas, no entanto, ainda estamos longe de a poder desprezar. É uma boa ideia, pensar numa forma de medir a corrente que apenas passa para o motor para esclarecer quaisquer dúvidas acerca da origem destes resultados.
Quanto ao gráfico da relação posição solicitada vs posição efectiva pode-se verificar um offset já um tanto significativo nos pontos de máximo binário. Como o esforço do servo é mais intenso nestes pontos e, provavelmente, devido à ausência de um integrador no circuito de controlo que compense o erro em regime estacionário, este fenómeno é facilmente compreensível. No entanto, note que não ocorrem fenómenos não lineares e que qualquer posição pode ser facilmente atingível por modificação do PWM (aumentando-o para compensar o desvio). O uso de um controlador, que use como feedback a tensão do potenciómetro, pode resolver facilmente este problema.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Análise dos resultados com a massa máxima (m=1398g) - Folha:"Massa=m4+m3"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Nesta experiência ocorre um efeito interessante: o binário exigido pelo peso para poder ser levantado ultrapassa o máximo que o servo é capaz de fornecer, e, por isso, o peso estanca na posição dos 22º. Pode-se verificar que esta circunstância ocorre quando a corrente pedida ronda os 2.5A o que pode vir a ser importante para que o robot tenha conhecimento de quando os servomotores tenham atingido o seu limite de binário.
No entanto, estranha-se a razão do ponto de saturação exigir um binário bastante inferior ao máximo. Um dos motivos poderá ser o facto do amperímetro provocar uma queda de tensão significativa durante as medições de corrente máxima, e por isso o binário máximo é limitado.
Um outro pormenor a indicar é o facto de que repetindo a experiência com a massa m1 (258g), os valores de corrente e o offset de posição aumentam signifcativamente quando comparados com a experiência inicial. Tal evidência leva-nos a crer que o servo, de alguma forma, ficou danificado durante o teste que incorreu na sua saturação, tendo levado à redução permanente do binário máximo suportado.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37">
      <selection activeCell="I81" sqref="I81"/>
    </sheetView>
  </sheetViews>
  <sheetFormatPr defaultColWidth="9.140625" defaultRowHeight="12.75"/>
  <cols>
    <col min="1" max="1" width="12.7109375" style="0" bestFit="1" customWidth="1"/>
    <col min="2" max="2" width="19.57421875" style="0" bestFit="1" customWidth="1"/>
    <col min="3" max="3" width="18.8515625" style="0" bestFit="1" customWidth="1"/>
    <col min="4" max="4" width="8.140625" style="0" bestFit="1" customWidth="1"/>
    <col min="5" max="5" width="16.421875" style="0" bestFit="1" customWidth="1"/>
    <col min="6" max="6" width="13.140625" style="0" bestFit="1" customWidth="1"/>
    <col min="7" max="7" width="21.7109375" style="0" bestFit="1" customWidth="1"/>
    <col min="8" max="8" width="24.7109375" style="0" bestFit="1" customWidth="1"/>
    <col min="9" max="9" width="24.7109375" style="0" customWidth="1"/>
    <col min="11" max="11" width="22.421875" style="0" bestFit="1" customWidth="1"/>
    <col min="12" max="12" width="5.57421875" style="0" bestFit="1" customWidth="1"/>
    <col min="13" max="13" width="21.57421875" style="0" bestFit="1" customWidth="1"/>
    <col min="14" max="14" width="15.28125" style="0" bestFit="1" customWidth="1"/>
  </cols>
  <sheetData>
    <row r="1" spans="11:13" ht="12.75">
      <c r="K1" s="40" t="s">
        <v>25</v>
      </c>
      <c r="L1" s="40"/>
      <c r="M1" s="40"/>
    </row>
    <row r="2" spans="1:13" ht="12.75">
      <c r="A2" s="35" t="s">
        <v>0</v>
      </c>
      <c r="B2" s="35" t="s">
        <v>1</v>
      </c>
      <c r="C2" s="33" t="s">
        <v>6</v>
      </c>
      <c r="D2" s="33" t="s">
        <v>11</v>
      </c>
      <c r="E2" s="33" t="s">
        <v>12</v>
      </c>
      <c r="F2" s="33" t="s">
        <v>46</v>
      </c>
      <c r="G2" s="34" t="s">
        <v>13</v>
      </c>
      <c r="H2" s="33" t="s">
        <v>19</v>
      </c>
      <c r="I2" s="33" t="s">
        <v>20</v>
      </c>
      <c r="K2" t="s">
        <v>2</v>
      </c>
      <c r="L2" s="2">
        <v>5</v>
      </c>
      <c r="M2" t="s">
        <v>24</v>
      </c>
    </row>
    <row r="3" spans="1:9" ht="12.75">
      <c r="A3" s="36">
        <v>90</v>
      </c>
      <c r="B3" s="36">
        <v>61</v>
      </c>
      <c r="C3" s="25">
        <f aca="true" t="shared" si="0" ref="C3:C39">$L$9-ROUNDDOWN((A3+$L$6)*($L$9-$L$10)/(2*$L$6),0)</f>
        <v>61</v>
      </c>
      <c r="D3" s="25">
        <f>ABS(B3-C3)</f>
        <v>0</v>
      </c>
      <c r="E3" s="26">
        <f aca="true" t="shared" si="1" ref="E3:E39">$L$6-(B3-$L$10)*2*$L$6/($L$9-$L$10)</f>
        <v>90</v>
      </c>
      <c r="F3" s="26">
        <f>ABS(A3-E3)</f>
        <v>0</v>
      </c>
      <c r="G3" s="27">
        <v>1.956</v>
      </c>
      <c r="H3" s="28">
        <f aca="true" t="shared" si="2" ref="H3:H39">$H$49*G3+$H$51</f>
        <v>88.92516203288488</v>
      </c>
      <c r="I3" s="28">
        <f>ABS(E3-H3)</f>
        <v>1.0748379671151156</v>
      </c>
    </row>
    <row r="4" spans="1:13" ht="12.75">
      <c r="A4" s="36">
        <v>85</v>
      </c>
      <c r="B4" s="36">
        <v>65</v>
      </c>
      <c r="C4" s="25">
        <f t="shared" si="0"/>
        <v>65</v>
      </c>
      <c r="D4" s="25">
        <f aca="true" t="shared" si="3" ref="D4:D39">ABS(B4-C4)</f>
        <v>0</v>
      </c>
      <c r="E4" s="26">
        <f t="shared" si="1"/>
        <v>84.33070866141732</v>
      </c>
      <c r="F4" s="26">
        <f aca="true" t="shared" si="4" ref="F4:F39">ABS(A4-E4)</f>
        <v>0.6692913385826813</v>
      </c>
      <c r="G4" s="27">
        <v>1.922</v>
      </c>
      <c r="H4" s="28">
        <f t="shared" si="2"/>
        <v>84.24310491810968</v>
      </c>
      <c r="I4" s="28">
        <f aca="true" t="shared" si="5" ref="I4:I39">ABS(E4-H4)</f>
        <v>0.08760374330763909</v>
      </c>
      <c r="K4" t="s">
        <v>7</v>
      </c>
      <c r="L4" s="2">
        <v>860</v>
      </c>
      <c r="M4" s="39" t="s">
        <v>22</v>
      </c>
    </row>
    <row r="5" spans="1:13" ht="12.75">
      <c r="A5" s="36">
        <v>80</v>
      </c>
      <c r="B5" s="36">
        <v>69</v>
      </c>
      <c r="C5" s="25">
        <f t="shared" si="0"/>
        <v>69</v>
      </c>
      <c r="D5" s="25">
        <f t="shared" si="3"/>
        <v>0</v>
      </c>
      <c r="E5" s="26">
        <f t="shared" si="1"/>
        <v>78.66141732283465</v>
      </c>
      <c r="F5" s="26">
        <f t="shared" si="4"/>
        <v>1.3385826771653484</v>
      </c>
      <c r="G5" s="27">
        <v>1.879</v>
      </c>
      <c r="H5" s="28">
        <f t="shared" si="2"/>
        <v>78.32167974354104</v>
      </c>
      <c r="I5" s="28">
        <f t="shared" si="5"/>
        <v>0.3397375792936117</v>
      </c>
      <c r="K5" t="s">
        <v>8</v>
      </c>
      <c r="L5" s="2">
        <v>2500</v>
      </c>
      <c r="M5" s="39"/>
    </row>
    <row r="6" spans="1:13" ht="12.75">
      <c r="A6" s="36">
        <v>75</v>
      </c>
      <c r="B6" s="36">
        <v>72</v>
      </c>
      <c r="C6" s="25">
        <f t="shared" si="0"/>
        <v>72</v>
      </c>
      <c r="D6" s="25">
        <f t="shared" si="3"/>
        <v>0</v>
      </c>
      <c r="E6" s="26">
        <f t="shared" si="1"/>
        <v>74.40944881889763</v>
      </c>
      <c r="F6" s="26">
        <f t="shared" si="4"/>
        <v>0.59055118110237</v>
      </c>
      <c r="G6" s="27">
        <v>1.851</v>
      </c>
      <c r="H6" s="28">
        <f t="shared" si="2"/>
        <v>74.46586800196147</v>
      </c>
      <c r="I6" s="28">
        <f t="shared" si="5"/>
        <v>0.05641918306383786</v>
      </c>
      <c r="K6" t="s">
        <v>9</v>
      </c>
      <c r="L6" s="2">
        <v>90</v>
      </c>
      <c r="M6" s="39"/>
    </row>
    <row r="7" spans="1:9" ht="12.75">
      <c r="A7" s="36">
        <v>70</v>
      </c>
      <c r="B7" s="36">
        <v>76</v>
      </c>
      <c r="C7" s="25">
        <f t="shared" si="0"/>
        <v>76</v>
      </c>
      <c r="D7" s="25">
        <f t="shared" si="3"/>
        <v>0</v>
      </c>
      <c r="E7" s="26">
        <f t="shared" si="1"/>
        <v>68.74015748031496</v>
      </c>
      <c r="F7" s="26">
        <f t="shared" si="4"/>
        <v>1.2598425196850371</v>
      </c>
      <c r="G7" s="27">
        <v>1.809</v>
      </c>
      <c r="H7" s="28">
        <f t="shared" si="2"/>
        <v>68.6821503895921</v>
      </c>
      <c r="I7" s="28">
        <f t="shared" si="5"/>
        <v>0.05800709072286736</v>
      </c>
    </row>
    <row r="8" spans="1:13" ht="12.75">
      <c r="A8" s="36">
        <v>65</v>
      </c>
      <c r="B8" s="36">
        <v>79</v>
      </c>
      <c r="C8" s="25">
        <f t="shared" si="0"/>
        <v>79</v>
      </c>
      <c r="D8" s="25">
        <f t="shared" si="3"/>
        <v>0</v>
      </c>
      <c r="E8" s="26">
        <f t="shared" si="1"/>
        <v>64.48818897637796</v>
      </c>
      <c r="F8" s="26">
        <f t="shared" si="4"/>
        <v>0.5118110236220446</v>
      </c>
      <c r="G8" s="27">
        <v>1.78</v>
      </c>
      <c r="H8" s="28">
        <f t="shared" si="2"/>
        <v>64.68863108581326</v>
      </c>
      <c r="I8" s="28">
        <f t="shared" si="5"/>
        <v>0.2004421094353006</v>
      </c>
      <c r="K8" t="s">
        <v>5</v>
      </c>
      <c r="L8" s="2">
        <v>64</v>
      </c>
      <c r="M8" s="39" t="s">
        <v>23</v>
      </c>
    </row>
    <row r="9" spans="1:13" ht="12.75">
      <c r="A9" s="36">
        <v>60</v>
      </c>
      <c r="B9" s="36">
        <v>83</v>
      </c>
      <c r="C9" s="25">
        <f t="shared" si="0"/>
        <v>83</v>
      </c>
      <c r="D9" s="25">
        <f t="shared" si="3"/>
        <v>0</v>
      </c>
      <c r="E9" s="26">
        <f t="shared" si="1"/>
        <v>58.818897637795274</v>
      </c>
      <c r="F9" s="26">
        <f t="shared" si="4"/>
        <v>1.1811023622047259</v>
      </c>
      <c r="G9" s="27">
        <v>1.737</v>
      </c>
      <c r="H9" s="28">
        <f t="shared" si="2"/>
        <v>58.767205911244645</v>
      </c>
      <c r="I9" s="28">
        <f t="shared" si="5"/>
        <v>0.05169172655062937</v>
      </c>
      <c r="K9" s="1" t="s">
        <v>3</v>
      </c>
      <c r="L9" s="3">
        <f>256-ROUNDDOWN((L4*L2)/L8,0)-1</f>
        <v>188</v>
      </c>
      <c r="M9" s="39"/>
    </row>
    <row r="10" spans="1:13" ht="12.75">
      <c r="A10" s="36">
        <v>55</v>
      </c>
      <c r="B10" s="36">
        <v>86</v>
      </c>
      <c r="C10" s="25">
        <f t="shared" si="0"/>
        <v>86</v>
      </c>
      <c r="D10" s="25">
        <f t="shared" si="3"/>
        <v>0</v>
      </c>
      <c r="E10" s="26">
        <f t="shared" si="1"/>
        <v>54.56692913385827</v>
      </c>
      <c r="F10" s="26">
        <f t="shared" si="4"/>
        <v>0.4330708661417333</v>
      </c>
      <c r="G10" s="27">
        <v>1.708</v>
      </c>
      <c r="H10" s="28">
        <f t="shared" si="2"/>
        <v>54.77368660746578</v>
      </c>
      <c r="I10" s="28">
        <f t="shared" si="5"/>
        <v>0.20675747360751018</v>
      </c>
      <c r="K10" s="1" t="s">
        <v>4</v>
      </c>
      <c r="L10" s="3">
        <f>256-ROUNDDOWN((L5*L2)/L8,0)</f>
        <v>61</v>
      </c>
      <c r="M10" s="39"/>
    </row>
    <row r="11" spans="1:9" ht="12.75">
      <c r="A11" s="36">
        <v>50</v>
      </c>
      <c r="B11" s="36">
        <v>90</v>
      </c>
      <c r="C11" s="25">
        <f t="shared" si="0"/>
        <v>90</v>
      </c>
      <c r="D11" s="25">
        <f t="shared" si="3"/>
        <v>0</v>
      </c>
      <c r="E11" s="26">
        <f t="shared" si="1"/>
        <v>48.89763779527559</v>
      </c>
      <c r="F11" s="26">
        <f t="shared" si="4"/>
        <v>1.1023622047244075</v>
      </c>
      <c r="G11" s="27">
        <v>1.665</v>
      </c>
      <c r="H11" s="28">
        <f t="shared" si="2"/>
        <v>48.852261432897166</v>
      </c>
      <c r="I11" s="28">
        <f t="shared" si="5"/>
        <v>0.045376362378426904</v>
      </c>
    </row>
    <row r="12" spans="1:9" ht="12.75">
      <c r="A12" s="36">
        <v>45</v>
      </c>
      <c r="B12" s="36">
        <v>93</v>
      </c>
      <c r="C12" s="25">
        <f t="shared" si="0"/>
        <v>93</v>
      </c>
      <c r="D12" s="25">
        <f t="shared" si="3"/>
        <v>0</v>
      </c>
      <c r="E12" s="26">
        <f t="shared" si="1"/>
        <v>44.645669291338585</v>
      </c>
      <c r="F12" s="26">
        <f t="shared" si="4"/>
        <v>0.3543307086614149</v>
      </c>
      <c r="G12" s="27">
        <v>1.635</v>
      </c>
      <c r="H12" s="28">
        <f t="shared" si="2"/>
        <v>44.72103456691906</v>
      </c>
      <c r="I12" s="28">
        <f t="shared" si="5"/>
        <v>0.07536527558047368</v>
      </c>
    </row>
    <row r="13" spans="1:13" ht="12.75">
      <c r="A13" s="36">
        <v>40</v>
      </c>
      <c r="B13" s="36">
        <v>97</v>
      </c>
      <c r="C13" s="25">
        <f t="shared" si="0"/>
        <v>97</v>
      </c>
      <c r="D13" s="25">
        <f t="shared" si="3"/>
        <v>0</v>
      </c>
      <c r="E13" s="26">
        <f t="shared" si="1"/>
        <v>38.976377952755904</v>
      </c>
      <c r="F13" s="26">
        <f t="shared" si="4"/>
        <v>1.0236220472440962</v>
      </c>
      <c r="G13" s="27">
        <v>1.595</v>
      </c>
      <c r="H13" s="28">
        <f t="shared" si="2"/>
        <v>39.21273207894822</v>
      </c>
      <c r="I13" s="28">
        <f t="shared" si="5"/>
        <v>0.23635412619231744</v>
      </c>
      <c r="K13" t="s">
        <v>30</v>
      </c>
      <c r="L13" s="23">
        <v>9.81</v>
      </c>
      <c r="M13" s="39" t="s">
        <v>32</v>
      </c>
    </row>
    <row r="14" spans="1:13" ht="12.75">
      <c r="A14" s="36">
        <v>35</v>
      </c>
      <c r="B14" s="36">
        <v>100</v>
      </c>
      <c r="C14" s="25">
        <f t="shared" si="0"/>
        <v>100</v>
      </c>
      <c r="D14" s="25">
        <f t="shared" si="3"/>
        <v>0</v>
      </c>
      <c r="E14" s="26">
        <f t="shared" si="1"/>
        <v>34.724409448818896</v>
      </c>
      <c r="F14" s="26">
        <f t="shared" si="4"/>
        <v>0.27559055118110365</v>
      </c>
      <c r="G14" s="27">
        <v>1.562</v>
      </c>
      <c r="H14" s="28">
        <f t="shared" si="2"/>
        <v>34.66838252637231</v>
      </c>
      <c r="I14" s="28">
        <f t="shared" si="5"/>
        <v>0.05602692244658414</v>
      </c>
      <c r="K14" t="s">
        <v>31</v>
      </c>
      <c r="L14" s="23">
        <v>0.1</v>
      </c>
      <c r="M14" s="39"/>
    </row>
    <row r="15" spans="1:13" ht="12.75">
      <c r="A15" s="36">
        <v>30</v>
      </c>
      <c r="B15" s="36">
        <v>104</v>
      </c>
      <c r="C15" s="25">
        <f t="shared" si="0"/>
        <v>104</v>
      </c>
      <c r="D15" s="25">
        <f t="shared" si="3"/>
        <v>0</v>
      </c>
      <c r="E15" s="26">
        <f t="shared" si="1"/>
        <v>29.055118110236222</v>
      </c>
      <c r="F15" s="26">
        <f t="shared" si="4"/>
        <v>0.9448818897637778</v>
      </c>
      <c r="G15" s="27">
        <v>1.522</v>
      </c>
      <c r="H15" s="28">
        <f t="shared" si="2"/>
        <v>29.160080038401475</v>
      </c>
      <c r="I15" s="28">
        <f t="shared" si="5"/>
        <v>0.10496192816525252</v>
      </c>
      <c r="K15" t="s">
        <v>51</v>
      </c>
      <c r="L15" s="22">
        <v>0.008</v>
      </c>
      <c r="M15" s="39"/>
    </row>
    <row r="16" spans="1:13" ht="12.75">
      <c r="A16" s="36">
        <v>25</v>
      </c>
      <c r="B16" s="36">
        <v>107</v>
      </c>
      <c r="C16" s="25">
        <f t="shared" si="0"/>
        <v>107</v>
      </c>
      <c r="D16" s="25">
        <f t="shared" si="3"/>
        <v>0</v>
      </c>
      <c r="E16" s="26">
        <f t="shared" si="1"/>
        <v>24.803149606299215</v>
      </c>
      <c r="F16" s="26">
        <f t="shared" si="4"/>
        <v>0.19685039370078528</v>
      </c>
      <c r="G16" s="27">
        <v>1.493</v>
      </c>
      <c r="H16" s="28">
        <f t="shared" si="2"/>
        <v>25.166560734622664</v>
      </c>
      <c r="I16" s="28">
        <f t="shared" si="5"/>
        <v>0.3634111283234489</v>
      </c>
      <c r="K16" t="s">
        <v>52</v>
      </c>
      <c r="L16" s="22">
        <v>0.009</v>
      </c>
      <c r="M16" s="39"/>
    </row>
    <row r="17" spans="1:13" ht="12.75">
      <c r="A17" s="36">
        <v>20</v>
      </c>
      <c r="B17" s="36">
        <v>111</v>
      </c>
      <c r="C17" s="25">
        <f t="shared" si="0"/>
        <v>111</v>
      </c>
      <c r="D17" s="25">
        <f t="shared" si="3"/>
        <v>0</v>
      </c>
      <c r="E17" s="26">
        <f t="shared" si="1"/>
        <v>19.133858267716533</v>
      </c>
      <c r="F17" s="26">
        <f t="shared" si="4"/>
        <v>0.8661417322834666</v>
      </c>
      <c r="G17" s="27">
        <v>1.45</v>
      </c>
      <c r="H17" s="28">
        <f t="shared" si="2"/>
        <v>19.245135560053996</v>
      </c>
      <c r="I17" s="28">
        <f t="shared" si="5"/>
        <v>0.11127729233746209</v>
      </c>
      <c r="K17" t="s">
        <v>39</v>
      </c>
      <c r="L17" s="22">
        <v>0.249</v>
      </c>
      <c r="M17" s="39"/>
    </row>
    <row r="18" spans="1:13" ht="12.75">
      <c r="A18" s="36">
        <v>15</v>
      </c>
      <c r="B18" s="36">
        <v>114</v>
      </c>
      <c r="C18" s="25">
        <f t="shared" si="0"/>
        <v>114</v>
      </c>
      <c r="D18" s="25">
        <f t="shared" si="3"/>
        <v>0</v>
      </c>
      <c r="E18" s="26">
        <f t="shared" si="1"/>
        <v>14.881889763779526</v>
      </c>
      <c r="F18" s="26">
        <f t="shared" si="4"/>
        <v>0.11811023622047401</v>
      </c>
      <c r="G18" s="27">
        <v>1.419</v>
      </c>
      <c r="H18" s="28">
        <f t="shared" si="2"/>
        <v>14.976201131876621</v>
      </c>
      <c r="I18" s="28">
        <f t="shared" si="5"/>
        <v>0.09431136809709528</v>
      </c>
      <c r="K18" t="s">
        <v>40</v>
      </c>
      <c r="L18" s="22">
        <v>0.454</v>
      </c>
      <c r="M18" s="39"/>
    </row>
    <row r="19" spans="1:13" ht="12.75">
      <c r="A19" s="36">
        <v>10</v>
      </c>
      <c r="B19" s="36">
        <v>118</v>
      </c>
      <c r="C19" s="25">
        <f t="shared" si="0"/>
        <v>118</v>
      </c>
      <c r="D19" s="25">
        <f t="shared" si="3"/>
        <v>0</v>
      </c>
      <c r="E19" s="26">
        <f t="shared" si="1"/>
        <v>9.212598425196845</v>
      </c>
      <c r="F19" s="26">
        <f t="shared" si="4"/>
        <v>0.7874015748031553</v>
      </c>
      <c r="G19" s="27">
        <v>1.379</v>
      </c>
      <c r="H19" s="28">
        <f t="shared" si="2"/>
        <v>9.467898643905812</v>
      </c>
      <c r="I19" s="28">
        <f t="shared" si="5"/>
        <v>0.25530021870896746</v>
      </c>
      <c r="K19" t="s">
        <v>41</v>
      </c>
      <c r="L19" s="22">
        <v>0.714</v>
      </c>
      <c r="M19" s="39"/>
    </row>
    <row r="20" spans="1:13" ht="12.75">
      <c r="A20" s="36">
        <v>5</v>
      </c>
      <c r="B20" s="36">
        <v>121</v>
      </c>
      <c r="C20" s="25">
        <f t="shared" si="0"/>
        <v>121</v>
      </c>
      <c r="D20" s="25">
        <f t="shared" si="3"/>
        <v>0</v>
      </c>
      <c r="E20" s="26">
        <f t="shared" si="1"/>
        <v>4.960629921259837</v>
      </c>
      <c r="F20" s="26">
        <f t="shared" si="4"/>
        <v>0.03937007874016274</v>
      </c>
      <c r="G20" s="27">
        <v>1.349</v>
      </c>
      <c r="H20" s="28">
        <f t="shared" si="2"/>
        <v>5.336671777927705</v>
      </c>
      <c r="I20" s="28">
        <f t="shared" si="5"/>
        <v>0.37604185666786805</v>
      </c>
      <c r="K20" t="s">
        <v>42</v>
      </c>
      <c r="L20" s="22">
        <v>0.666</v>
      </c>
      <c r="M20" s="39"/>
    </row>
    <row r="21" spans="1:13" ht="12.75">
      <c r="A21" s="36">
        <v>0</v>
      </c>
      <c r="B21" s="36">
        <v>125</v>
      </c>
      <c r="C21" s="25">
        <f t="shared" si="0"/>
        <v>125</v>
      </c>
      <c r="D21" s="25">
        <f t="shared" si="3"/>
        <v>0</v>
      </c>
      <c r="E21" s="26">
        <f t="shared" si="1"/>
        <v>-0.7086614173228298</v>
      </c>
      <c r="F21" s="26">
        <f t="shared" si="4"/>
        <v>0.7086614173228298</v>
      </c>
      <c r="G21" s="27">
        <v>1.306</v>
      </c>
      <c r="H21" s="28">
        <f t="shared" si="2"/>
        <v>-0.5847533966409344</v>
      </c>
      <c r="I21" s="28">
        <f t="shared" si="5"/>
        <v>0.12390802068189544</v>
      </c>
      <c r="K21" s="1" t="s">
        <v>47</v>
      </c>
      <c r="L21" s="17">
        <f>L17+$L$16</f>
        <v>0.258</v>
      </c>
      <c r="M21" s="39"/>
    </row>
    <row r="22" spans="1:13" ht="12.75">
      <c r="A22" s="36">
        <v>-5</v>
      </c>
      <c r="B22" s="36">
        <v>129</v>
      </c>
      <c r="C22" s="25">
        <f t="shared" si="0"/>
        <v>129</v>
      </c>
      <c r="D22" s="25">
        <f t="shared" si="3"/>
        <v>0</v>
      </c>
      <c r="E22" s="26">
        <f t="shared" si="1"/>
        <v>-6.377952755905511</v>
      </c>
      <c r="F22" s="26">
        <f t="shared" si="4"/>
        <v>1.3779527559055111</v>
      </c>
      <c r="G22" s="27">
        <v>1.265</v>
      </c>
      <c r="H22" s="28">
        <f t="shared" si="2"/>
        <v>-6.230763446811039</v>
      </c>
      <c r="I22" s="28">
        <f t="shared" si="5"/>
        <v>0.1471893090944718</v>
      </c>
      <c r="K22" s="1" t="s">
        <v>48</v>
      </c>
      <c r="L22" s="17">
        <f>L18+$L$16</f>
        <v>0.463</v>
      </c>
      <c r="M22" s="39"/>
    </row>
    <row r="23" spans="1:13" ht="12.75">
      <c r="A23" s="36">
        <v>-10</v>
      </c>
      <c r="B23" s="36">
        <v>132</v>
      </c>
      <c r="C23" s="25">
        <f t="shared" si="0"/>
        <v>132</v>
      </c>
      <c r="D23" s="25">
        <f t="shared" si="3"/>
        <v>0</v>
      </c>
      <c r="E23" s="26">
        <f t="shared" si="1"/>
        <v>-10.629921259842519</v>
      </c>
      <c r="F23" s="26">
        <f t="shared" si="4"/>
        <v>0.6299212598425186</v>
      </c>
      <c r="G23" s="27">
        <v>1.233</v>
      </c>
      <c r="H23" s="28">
        <f t="shared" si="2"/>
        <v>-10.637405437187653</v>
      </c>
      <c r="I23" s="28">
        <f t="shared" si="5"/>
        <v>0.007484177345133958</v>
      </c>
      <c r="K23" s="1" t="s">
        <v>49</v>
      </c>
      <c r="L23" s="17">
        <f>L19+$L$16</f>
        <v>0.723</v>
      </c>
      <c r="M23" s="39"/>
    </row>
    <row r="24" spans="1:13" ht="12.75">
      <c r="A24" s="36">
        <v>-15</v>
      </c>
      <c r="B24" s="36">
        <v>136</v>
      </c>
      <c r="C24" s="25">
        <f t="shared" si="0"/>
        <v>136</v>
      </c>
      <c r="D24" s="25">
        <f t="shared" si="3"/>
        <v>0</v>
      </c>
      <c r="E24" s="26">
        <f t="shared" si="1"/>
        <v>-16.2992125984252</v>
      </c>
      <c r="F24" s="26">
        <f t="shared" si="4"/>
        <v>1.2992125984251999</v>
      </c>
      <c r="G24" s="27">
        <v>1.192</v>
      </c>
      <c r="H24" s="28">
        <f t="shared" si="2"/>
        <v>-16.283415487357786</v>
      </c>
      <c r="I24" s="28">
        <f t="shared" si="5"/>
        <v>0.015797111067413994</v>
      </c>
      <c r="K24" s="1" t="s">
        <v>50</v>
      </c>
      <c r="L24" s="17">
        <f>L20+$L$16</f>
        <v>0.675</v>
      </c>
      <c r="M24" s="39"/>
    </row>
    <row r="25" spans="1:9" ht="12.75">
      <c r="A25" s="36">
        <v>-20</v>
      </c>
      <c r="B25" s="36">
        <v>139</v>
      </c>
      <c r="C25" s="25">
        <f t="shared" si="0"/>
        <v>139</v>
      </c>
      <c r="D25" s="25">
        <f t="shared" si="3"/>
        <v>0</v>
      </c>
      <c r="E25" s="26">
        <f t="shared" si="1"/>
        <v>-20.551181102362207</v>
      </c>
      <c r="F25" s="26">
        <f t="shared" si="4"/>
        <v>0.5511811023622073</v>
      </c>
      <c r="G25" s="27">
        <v>1.162</v>
      </c>
      <c r="H25" s="28">
        <f t="shared" si="2"/>
        <v>-20.414642353335893</v>
      </c>
      <c r="I25" s="28">
        <f t="shared" si="5"/>
        <v>0.13653874902631458</v>
      </c>
    </row>
    <row r="26" spans="1:9" ht="12.75">
      <c r="A26" s="36">
        <v>-25</v>
      </c>
      <c r="B26" s="36">
        <v>143</v>
      </c>
      <c r="C26" s="25">
        <f t="shared" si="0"/>
        <v>143</v>
      </c>
      <c r="D26" s="25">
        <f t="shared" si="3"/>
        <v>0</v>
      </c>
      <c r="E26" s="26">
        <f t="shared" si="1"/>
        <v>-26.22047244094489</v>
      </c>
      <c r="F26" s="26">
        <f t="shared" si="4"/>
        <v>1.2204724409448886</v>
      </c>
      <c r="G26" s="27">
        <v>1.121</v>
      </c>
      <c r="H26" s="28">
        <f t="shared" si="2"/>
        <v>-26.06065240350597</v>
      </c>
      <c r="I26" s="28">
        <f t="shared" si="5"/>
        <v>0.15982003743891937</v>
      </c>
    </row>
    <row r="27" spans="1:9" ht="12.75">
      <c r="A27" s="36">
        <v>-30</v>
      </c>
      <c r="B27" s="36">
        <v>146</v>
      </c>
      <c r="C27" s="25">
        <f t="shared" si="0"/>
        <v>146</v>
      </c>
      <c r="D27" s="25">
        <f t="shared" si="3"/>
        <v>0</v>
      </c>
      <c r="E27" s="26">
        <f t="shared" si="1"/>
        <v>-30.472440944881896</v>
      </c>
      <c r="F27" s="26">
        <f t="shared" si="4"/>
        <v>0.47244094488189603</v>
      </c>
      <c r="G27" s="27">
        <v>1.09</v>
      </c>
      <c r="H27" s="28">
        <f t="shared" si="2"/>
        <v>-30.329586831683343</v>
      </c>
      <c r="I27" s="28">
        <f t="shared" si="5"/>
        <v>0.14285411319855257</v>
      </c>
    </row>
    <row r="28" spans="1:9" ht="12.75">
      <c r="A28" s="36">
        <v>-35</v>
      </c>
      <c r="B28" s="36">
        <v>150</v>
      </c>
      <c r="C28" s="25">
        <f t="shared" si="0"/>
        <v>150</v>
      </c>
      <c r="D28" s="25">
        <f t="shared" si="3"/>
        <v>0</v>
      </c>
      <c r="E28" s="26">
        <f t="shared" si="1"/>
        <v>-36.14173228346456</v>
      </c>
      <c r="F28" s="26">
        <f t="shared" si="4"/>
        <v>1.1417322834645631</v>
      </c>
      <c r="G28" s="27">
        <v>1.047</v>
      </c>
      <c r="H28" s="28">
        <f t="shared" si="2"/>
        <v>-36.25101200625198</v>
      </c>
      <c r="I28" s="28">
        <f t="shared" si="5"/>
        <v>0.10927972278742004</v>
      </c>
    </row>
    <row r="29" spans="1:9" ht="12.75">
      <c r="A29" s="36">
        <v>-40</v>
      </c>
      <c r="B29" s="36">
        <v>153</v>
      </c>
      <c r="C29" s="25">
        <f t="shared" si="0"/>
        <v>153</v>
      </c>
      <c r="D29" s="25">
        <f t="shared" si="3"/>
        <v>0</v>
      </c>
      <c r="E29" s="26">
        <f t="shared" si="1"/>
        <v>-40.39370078740157</v>
      </c>
      <c r="F29" s="26">
        <f t="shared" si="4"/>
        <v>0.39370078740157055</v>
      </c>
      <c r="G29" s="27">
        <v>1.018</v>
      </c>
      <c r="H29" s="28">
        <f t="shared" si="2"/>
        <v>-40.24453131003082</v>
      </c>
      <c r="I29" s="28">
        <f t="shared" si="5"/>
        <v>0.14916947737074793</v>
      </c>
    </row>
    <row r="30" spans="1:9" ht="12.75">
      <c r="A30" s="36">
        <v>-45</v>
      </c>
      <c r="B30" s="36">
        <v>157</v>
      </c>
      <c r="C30" s="25">
        <f t="shared" si="0"/>
        <v>157</v>
      </c>
      <c r="D30" s="25">
        <f t="shared" si="3"/>
        <v>0</v>
      </c>
      <c r="E30" s="26">
        <f t="shared" si="1"/>
        <v>-46.062992125984266</v>
      </c>
      <c r="F30" s="26">
        <f t="shared" si="4"/>
        <v>1.062992125984266</v>
      </c>
      <c r="G30" s="27">
        <v>0.976</v>
      </c>
      <c r="H30" s="28">
        <f t="shared" si="2"/>
        <v>-46.028248922400195</v>
      </c>
      <c r="I30" s="28">
        <f t="shared" si="5"/>
        <v>0.034743203584071125</v>
      </c>
    </row>
    <row r="31" spans="1:9" ht="12.75">
      <c r="A31" s="36">
        <v>-50</v>
      </c>
      <c r="B31" s="36">
        <v>160</v>
      </c>
      <c r="C31" s="25">
        <f t="shared" si="0"/>
        <v>160</v>
      </c>
      <c r="D31" s="25">
        <f t="shared" si="3"/>
        <v>0</v>
      </c>
      <c r="E31" s="26">
        <f t="shared" si="1"/>
        <v>-50.31496062992127</v>
      </c>
      <c r="F31" s="26">
        <f t="shared" si="4"/>
        <v>0.3149606299212735</v>
      </c>
      <c r="G31" s="27">
        <v>0.946</v>
      </c>
      <c r="H31" s="28">
        <f t="shared" si="2"/>
        <v>-50.1594757883783</v>
      </c>
      <c r="I31" s="28">
        <f t="shared" si="5"/>
        <v>0.1554848415429717</v>
      </c>
    </row>
    <row r="32" spans="1:9" ht="12.75">
      <c r="A32" s="36">
        <v>-55</v>
      </c>
      <c r="B32" s="36">
        <v>164</v>
      </c>
      <c r="C32" s="25">
        <f t="shared" si="0"/>
        <v>164</v>
      </c>
      <c r="D32" s="25">
        <f t="shared" si="3"/>
        <v>0</v>
      </c>
      <c r="E32" s="26">
        <f t="shared" si="1"/>
        <v>-55.98425196850394</v>
      </c>
      <c r="F32" s="26">
        <f t="shared" si="4"/>
        <v>0.9842519685039406</v>
      </c>
      <c r="G32" s="27">
        <v>0.904</v>
      </c>
      <c r="H32" s="28">
        <f t="shared" si="2"/>
        <v>-55.943193400747646</v>
      </c>
      <c r="I32" s="28">
        <f t="shared" si="5"/>
        <v>0.041058567756294906</v>
      </c>
    </row>
    <row r="33" spans="1:9" ht="12.75">
      <c r="A33" s="36">
        <v>-60</v>
      </c>
      <c r="B33" s="36">
        <v>167</v>
      </c>
      <c r="C33" s="25">
        <f t="shared" si="0"/>
        <v>167</v>
      </c>
      <c r="D33" s="25">
        <f t="shared" si="3"/>
        <v>0</v>
      </c>
      <c r="E33" s="26">
        <f t="shared" si="1"/>
        <v>-60.23622047244095</v>
      </c>
      <c r="F33" s="26">
        <f t="shared" si="4"/>
        <v>0.23622047244094801</v>
      </c>
      <c r="G33" s="27">
        <v>0.872</v>
      </c>
      <c r="H33" s="28">
        <f t="shared" si="2"/>
        <v>-60.349835391124316</v>
      </c>
      <c r="I33" s="28">
        <f t="shared" si="5"/>
        <v>0.1136149186833677</v>
      </c>
    </row>
    <row r="34" spans="1:9" ht="12.75">
      <c r="A34" s="36">
        <v>-65</v>
      </c>
      <c r="B34" s="36">
        <v>171</v>
      </c>
      <c r="C34" s="25">
        <f t="shared" si="0"/>
        <v>171</v>
      </c>
      <c r="D34" s="25">
        <f t="shared" si="3"/>
        <v>0</v>
      </c>
      <c r="E34" s="26">
        <f t="shared" si="1"/>
        <v>-65.90551181102362</v>
      </c>
      <c r="F34" s="26">
        <f t="shared" si="4"/>
        <v>0.9055118110236151</v>
      </c>
      <c r="G34" s="27">
        <v>0.83</v>
      </c>
      <c r="H34" s="28">
        <f t="shared" si="2"/>
        <v>-66.13355300349367</v>
      </c>
      <c r="I34" s="28">
        <f t="shared" si="5"/>
        <v>0.22804119247005872</v>
      </c>
    </row>
    <row r="35" spans="1:9" ht="12.75">
      <c r="A35" s="36">
        <v>-70</v>
      </c>
      <c r="B35" s="36">
        <v>174</v>
      </c>
      <c r="C35" s="25">
        <f t="shared" si="0"/>
        <v>174</v>
      </c>
      <c r="D35" s="25">
        <f t="shared" si="3"/>
        <v>0</v>
      </c>
      <c r="E35" s="26">
        <f t="shared" si="1"/>
        <v>-70.15748031496062</v>
      </c>
      <c r="F35" s="26">
        <f t="shared" si="4"/>
        <v>0.15748031496062254</v>
      </c>
      <c r="G35" s="27">
        <v>0.8</v>
      </c>
      <c r="H35" s="28">
        <f t="shared" si="2"/>
        <v>-70.26477986947178</v>
      </c>
      <c r="I35" s="28">
        <f t="shared" si="5"/>
        <v>0.10729955451115814</v>
      </c>
    </row>
    <row r="36" spans="1:9" ht="12.75">
      <c r="A36" s="36">
        <v>-75</v>
      </c>
      <c r="B36" s="36">
        <v>178</v>
      </c>
      <c r="C36" s="25">
        <f t="shared" si="0"/>
        <v>178</v>
      </c>
      <c r="D36" s="25">
        <f t="shared" si="3"/>
        <v>0</v>
      </c>
      <c r="E36" s="26">
        <f t="shared" si="1"/>
        <v>-75.82677165354332</v>
      </c>
      <c r="F36" s="26">
        <f t="shared" si="4"/>
        <v>0.826771653543318</v>
      </c>
      <c r="G36" s="27">
        <v>0.758</v>
      </c>
      <c r="H36" s="28">
        <f t="shared" si="2"/>
        <v>-76.04849748184114</v>
      </c>
      <c r="I36" s="28">
        <f t="shared" si="5"/>
        <v>0.22172582829782073</v>
      </c>
    </row>
    <row r="37" spans="1:9" ht="12.75">
      <c r="A37" s="36">
        <v>-80</v>
      </c>
      <c r="B37" s="36">
        <v>181</v>
      </c>
      <c r="C37" s="25">
        <f t="shared" si="0"/>
        <v>181</v>
      </c>
      <c r="D37" s="25">
        <f t="shared" si="3"/>
        <v>0</v>
      </c>
      <c r="E37" s="26">
        <f t="shared" si="1"/>
        <v>-80.07874015748033</v>
      </c>
      <c r="F37" s="26">
        <f t="shared" si="4"/>
        <v>0.07874015748032548</v>
      </c>
      <c r="G37" s="27">
        <v>0.727</v>
      </c>
      <c r="H37" s="28">
        <f t="shared" si="2"/>
        <v>-80.31743191001853</v>
      </c>
      <c r="I37" s="28">
        <f t="shared" si="5"/>
        <v>0.23869175253820174</v>
      </c>
    </row>
    <row r="38" spans="1:9" ht="12.75">
      <c r="A38" s="36">
        <v>-85</v>
      </c>
      <c r="B38" s="36">
        <v>185</v>
      </c>
      <c r="C38" s="25">
        <f t="shared" si="0"/>
        <v>185</v>
      </c>
      <c r="D38" s="25">
        <f t="shared" si="3"/>
        <v>0</v>
      </c>
      <c r="E38" s="26">
        <f t="shared" si="1"/>
        <v>-85.74803149606299</v>
      </c>
      <c r="F38" s="26">
        <f t="shared" si="4"/>
        <v>0.7480314960629926</v>
      </c>
      <c r="G38" s="27">
        <v>0.687</v>
      </c>
      <c r="H38" s="28">
        <f t="shared" si="2"/>
        <v>-85.82573439798934</v>
      </c>
      <c r="I38" s="28">
        <f t="shared" si="5"/>
        <v>0.07770290192634377</v>
      </c>
    </row>
    <row r="39" spans="1:9" ht="12.75">
      <c r="A39" s="37">
        <v>-90</v>
      </c>
      <c r="B39" s="37">
        <v>188</v>
      </c>
      <c r="C39" s="29">
        <f t="shared" si="0"/>
        <v>188</v>
      </c>
      <c r="D39" s="29">
        <f t="shared" si="3"/>
        <v>0</v>
      </c>
      <c r="E39" s="30">
        <f t="shared" si="1"/>
        <v>-90</v>
      </c>
      <c r="F39" s="26">
        <f t="shared" si="4"/>
        <v>0</v>
      </c>
      <c r="G39" s="31">
        <v>0.654</v>
      </c>
      <c r="H39" s="32">
        <f t="shared" si="2"/>
        <v>-90.37008395056526</v>
      </c>
      <c r="I39" s="32">
        <f t="shared" si="5"/>
        <v>0.37008395056525956</v>
      </c>
    </row>
    <row r="40" spans="1:10" ht="12.75">
      <c r="A40" s="4"/>
      <c r="B40" s="4"/>
      <c r="C40" s="4"/>
      <c r="D40" s="5"/>
      <c r="E40" s="5"/>
      <c r="F40" s="5"/>
      <c r="G40" s="5"/>
      <c r="H40" s="5"/>
      <c r="I40" s="5"/>
      <c r="J40" s="6"/>
    </row>
    <row r="41" ht="12.75">
      <c r="I41" s="1" t="s">
        <v>21</v>
      </c>
    </row>
    <row r="42" ht="12.75">
      <c r="I42" s="17">
        <f>SUM(I3:I39)/COUNT(I3:I39)</f>
        <v>0.17228137248326555</v>
      </c>
    </row>
    <row r="45" spans="8:9" ht="12.75">
      <c r="H45" s="1" t="s">
        <v>14</v>
      </c>
      <c r="I45" s="6"/>
    </row>
    <row r="46" spans="8:9" ht="12.75">
      <c r="H46" s="12">
        <f>CORREL(E3:E39,G3:G39)</f>
        <v>0.9999890827954188</v>
      </c>
      <c r="I46" s="16"/>
    </row>
    <row r="47" ht="12.75">
      <c r="I47" s="6"/>
    </row>
    <row r="48" spans="8:9" ht="12.75">
      <c r="H48" s="1" t="s">
        <v>16</v>
      </c>
      <c r="I48" s="41" t="s">
        <v>26</v>
      </c>
    </row>
    <row r="49" spans="8:9" ht="12.75">
      <c r="H49" s="1">
        <f>SLOPE(E3:E39,G3:G39)</f>
        <v>137.70756219927046</v>
      </c>
      <c r="I49" s="41"/>
    </row>
    <row r="50" spans="8:9" ht="12.75">
      <c r="H50" s="1" t="s">
        <v>17</v>
      </c>
      <c r="I50" s="41"/>
    </row>
    <row r="51" spans="8:9" ht="12.75">
      <c r="H51" s="1">
        <f>INTERCEPT(E3:E39,G3:G39)</f>
        <v>-180.43082962888815</v>
      </c>
      <c r="I51" s="41"/>
    </row>
    <row r="52" ht="12.75">
      <c r="I52" s="6"/>
    </row>
  </sheetData>
  <mergeCells count="5">
    <mergeCell ref="M4:M6"/>
    <mergeCell ref="M8:M10"/>
    <mergeCell ref="K1:M1"/>
    <mergeCell ref="I48:I51"/>
    <mergeCell ref="M13:M24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1" sqref="D1:F1"/>
    </sheetView>
  </sheetViews>
  <sheetFormatPr defaultColWidth="9.140625" defaultRowHeight="12.75"/>
  <cols>
    <col min="1" max="1" width="12.7109375" style="0" bestFit="1" customWidth="1"/>
    <col min="4" max="4" width="13.7109375" style="0" bestFit="1" customWidth="1"/>
    <col min="5" max="5" width="17.57421875" style="0" bestFit="1" customWidth="1"/>
    <col min="6" max="6" width="8.7109375" style="0" bestFit="1" customWidth="1"/>
  </cols>
  <sheetData>
    <row r="1" spans="1:6" ht="12.75">
      <c r="A1" s="20" t="s">
        <v>29</v>
      </c>
      <c r="B1">
        <f>Intro!L21</f>
        <v>0.258</v>
      </c>
      <c r="D1" s="42" t="s">
        <v>53</v>
      </c>
      <c r="E1" s="42"/>
      <c r="F1" s="42"/>
    </row>
    <row r="2" spans="2:5" ht="12.75">
      <c r="B2" s="7"/>
      <c r="C2" s="7"/>
      <c r="D2" s="7"/>
      <c r="E2" s="7"/>
    </row>
    <row r="3" spans="1:8" ht="12.75">
      <c r="A3" s="4" t="s">
        <v>27</v>
      </c>
      <c r="B3" s="9" t="s">
        <v>15</v>
      </c>
      <c r="C3" s="13" t="s">
        <v>18</v>
      </c>
      <c r="D3" s="13" t="s">
        <v>10</v>
      </c>
      <c r="E3" s="13" t="s">
        <v>33</v>
      </c>
      <c r="F3" s="13" t="s">
        <v>34</v>
      </c>
      <c r="G3" s="9" t="s">
        <v>35</v>
      </c>
      <c r="H3" s="13" t="s">
        <v>37</v>
      </c>
    </row>
    <row r="4" spans="1:8" ht="12.75">
      <c r="A4" s="8">
        <f>Intro!E3</f>
        <v>90</v>
      </c>
      <c r="B4" s="10">
        <v>1.952</v>
      </c>
      <c r="C4" s="13">
        <f>B4*Intro!$H$49+Intro!$H$51</f>
        <v>88.37433178408776</v>
      </c>
      <c r="D4" s="18">
        <f>ABS(A4-C4)</f>
        <v>1.625668215912242</v>
      </c>
      <c r="E4" s="18">
        <f>90-C4</f>
        <v>1.625668215912242</v>
      </c>
      <c r="F4" s="17">
        <f>$B$1*Intro!$L$13*Intro!$L$14*SIN(RADIANS(E4))</f>
        <v>0.007180252605306919</v>
      </c>
      <c r="G4" s="14">
        <v>0.01</v>
      </c>
      <c r="H4" s="17">
        <f>G4/F4</f>
        <v>1.3927086621728333</v>
      </c>
    </row>
    <row r="5" spans="1:8" ht="12.75">
      <c r="A5" s="8">
        <f>Intro!E4</f>
        <v>84.33070866141732</v>
      </c>
      <c r="B5" s="11"/>
      <c r="C5" s="13"/>
      <c r="D5" s="18"/>
      <c r="E5" s="18"/>
      <c r="F5" s="17"/>
      <c r="G5" s="14"/>
      <c r="H5" s="17"/>
    </row>
    <row r="6" spans="1:8" ht="12.75">
      <c r="A6" s="8">
        <f>Intro!E5</f>
        <v>78.66141732283465</v>
      </c>
      <c r="B6" s="10">
        <v>1.868</v>
      </c>
      <c r="C6" s="13">
        <f>B6*Intro!$H$49+Intro!$H$51</f>
        <v>76.80689655934907</v>
      </c>
      <c r="D6" s="18">
        <f>ABS(A6-C6)</f>
        <v>1.8545207634855814</v>
      </c>
      <c r="E6" s="18">
        <f aca="true" t="shared" si="0" ref="E6:E40">90-C6</f>
        <v>13.19310344065093</v>
      </c>
      <c r="F6" s="17">
        <f>$B$1*Intro!$L$13*Intro!$L$14*SIN(RADIANS(E6))</f>
        <v>0.05776548820256123</v>
      </c>
      <c r="G6" s="14">
        <v>0.01</v>
      </c>
      <c r="H6" s="17">
        <f aca="true" t="shared" si="1" ref="H6:H40">G6/F6</f>
        <v>0.1731137450952352</v>
      </c>
    </row>
    <row r="7" spans="1:8" ht="12.75">
      <c r="A7" s="8">
        <f>Intro!E6</f>
        <v>74.40944881889763</v>
      </c>
      <c r="B7" s="11"/>
      <c r="C7" s="13"/>
      <c r="D7" s="18"/>
      <c r="E7" s="18"/>
      <c r="F7" s="17"/>
      <c r="G7" s="14"/>
      <c r="H7" s="17"/>
    </row>
    <row r="8" spans="1:8" ht="12.75">
      <c r="A8" s="8">
        <f>Intro!E7</f>
        <v>68.74015748031496</v>
      </c>
      <c r="B8" s="10">
        <v>1.796</v>
      </c>
      <c r="C8" s="13">
        <f>B8*Intro!$H$49+Intro!$H$51</f>
        <v>66.89195208100159</v>
      </c>
      <c r="D8" s="18">
        <f>ABS(A8-C8)</f>
        <v>1.8482053993133718</v>
      </c>
      <c r="E8" s="18">
        <f t="shared" si="0"/>
        <v>23.10804791899841</v>
      </c>
      <c r="F8" s="17">
        <f>$B$1*Intro!$L$13*Intro!$L$14*SIN(RADIANS(E8))</f>
        <v>0.0993324389710726</v>
      </c>
      <c r="G8" s="14">
        <v>0.01</v>
      </c>
      <c r="H8" s="17">
        <f t="shared" si="1"/>
        <v>0.10067204735516642</v>
      </c>
    </row>
    <row r="9" spans="1:8" ht="12.75">
      <c r="A9" s="8">
        <f>Intro!E8</f>
        <v>64.48818897637796</v>
      </c>
      <c r="B9" s="11"/>
      <c r="C9" s="13"/>
      <c r="D9" s="18"/>
      <c r="E9" s="18"/>
      <c r="F9" s="17"/>
      <c r="G9" s="14"/>
      <c r="H9" s="17"/>
    </row>
    <row r="10" spans="1:8" ht="12.75">
      <c r="A10" s="8">
        <f>Intro!E9</f>
        <v>58.818897637795274</v>
      </c>
      <c r="B10" s="10">
        <v>1.728</v>
      </c>
      <c r="C10" s="13">
        <f>B10*Intro!$H$49+Intro!$H$51</f>
        <v>57.52783785145121</v>
      </c>
      <c r="D10" s="18">
        <f>ABS(A10-C10)</f>
        <v>1.2910597863440643</v>
      </c>
      <c r="E10" s="18">
        <f t="shared" si="0"/>
        <v>32.47216214854879</v>
      </c>
      <c r="F10" s="17">
        <f>$B$1*Intro!$L$13*Intro!$L$14*SIN(RADIANS(E10))</f>
        <v>0.13588572775448834</v>
      </c>
      <c r="G10" s="14">
        <v>0.27</v>
      </c>
      <c r="H10" s="17">
        <f t="shared" si="1"/>
        <v>1.9869636382109441</v>
      </c>
    </row>
    <row r="11" spans="1:8" ht="12.75">
      <c r="A11" s="8">
        <f>Intro!E10</f>
        <v>54.56692913385827</v>
      </c>
      <c r="B11" s="11"/>
      <c r="C11" s="13"/>
      <c r="D11" s="18"/>
      <c r="E11" s="18"/>
      <c r="F11" s="17"/>
      <c r="G11" s="14"/>
      <c r="H11" s="17"/>
    </row>
    <row r="12" spans="1:8" ht="12.75">
      <c r="A12" s="8">
        <f>Intro!E11</f>
        <v>48.89763779527559</v>
      </c>
      <c r="B12" s="10">
        <v>1.662</v>
      </c>
      <c r="C12" s="13">
        <f>B12*Intro!$H$49+Intro!$H$51</f>
        <v>48.439138746299335</v>
      </c>
      <c r="D12" s="18">
        <f>ABS(A12-C12)</f>
        <v>0.4584990489762575</v>
      </c>
      <c r="E12" s="18">
        <f t="shared" si="0"/>
        <v>41.560861253700665</v>
      </c>
      <c r="F12" s="17">
        <f>$B$1*Intro!$L$13*Intro!$L$14*SIN(RADIANS(E12))</f>
        <v>0.1679090696346938</v>
      </c>
      <c r="G12" s="14">
        <v>0.27</v>
      </c>
      <c r="H12" s="17">
        <f t="shared" si="1"/>
        <v>1.6080131977826881</v>
      </c>
    </row>
    <row r="13" spans="1:8" ht="12.75">
      <c r="A13" s="8">
        <f>Intro!E12</f>
        <v>44.645669291338585</v>
      </c>
      <c r="B13" s="11"/>
      <c r="C13" s="13"/>
      <c r="D13" s="18"/>
      <c r="E13" s="18"/>
      <c r="F13" s="17"/>
      <c r="G13" s="14"/>
      <c r="H13" s="17"/>
    </row>
    <row r="14" spans="1:8" ht="12.75">
      <c r="A14" s="8">
        <f>Intro!E13</f>
        <v>38.976377952755904</v>
      </c>
      <c r="B14" s="10">
        <v>1.642</v>
      </c>
      <c r="C14" s="13">
        <f>B14*Intro!$H$49+Intro!$H$51</f>
        <v>45.68498750231393</v>
      </c>
      <c r="D14" s="18">
        <f>ABS(A14-C14)</f>
        <v>6.708609549558027</v>
      </c>
      <c r="E14" s="18">
        <f t="shared" si="0"/>
        <v>44.31501249768607</v>
      </c>
      <c r="F14" s="17">
        <f>$B$1*Intro!$L$13*Intro!$L$14*SIN(RADIANS(E14))</f>
        <v>0.176814967800736</v>
      </c>
      <c r="G14" s="14">
        <v>0.27</v>
      </c>
      <c r="H14" s="17">
        <f t="shared" si="1"/>
        <v>1.5270200445036992</v>
      </c>
    </row>
    <row r="15" spans="1:8" ht="12.75">
      <c r="A15" s="8">
        <f>Intro!E14</f>
        <v>34.724409448818896</v>
      </c>
      <c r="B15" s="11"/>
      <c r="C15" s="13"/>
      <c r="D15" s="18"/>
      <c r="E15" s="18"/>
      <c r="F15" s="17"/>
      <c r="G15" s="14"/>
      <c r="H15" s="17"/>
    </row>
    <row r="16" spans="1:8" ht="12.75">
      <c r="A16" s="8">
        <f>Intro!E15</f>
        <v>29.055118110236222</v>
      </c>
      <c r="B16" s="10">
        <v>1.572</v>
      </c>
      <c r="C16" s="13">
        <f>B16*Intro!$H$49+Intro!$H$51</f>
        <v>36.045458148365014</v>
      </c>
      <c r="D16" s="18">
        <f>ABS(A16-C16)</f>
        <v>6.990340038128792</v>
      </c>
      <c r="E16" s="18">
        <f t="shared" si="0"/>
        <v>53.954541851634986</v>
      </c>
      <c r="F16" s="17">
        <f>$B$1*Intro!$L$13*Intro!$L$14*SIN(RADIANS(E16))</f>
        <v>0.20464248769439242</v>
      </c>
      <c r="G16" s="14">
        <v>0.27</v>
      </c>
      <c r="H16" s="17">
        <f t="shared" si="1"/>
        <v>1.3193741096580625</v>
      </c>
    </row>
    <row r="17" spans="1:8" ht="12.75">
      <c r="A17" s="8">
        <f>Intro!E16</f>
        <v>24.803149606299215</v>
      </c>
      <c r="B17" s="11"/>
      <c r="C17" s="13"/>
      <c r="D17" s="18"/>
      <c r="E17" s="18"/>
      <c r="F17" s="17"/>
      <c r="G17" s="14"/>
      <c r="H17" s="17"/>
    </row>
    <row r="18" spans="1:8" ht="12.75">
      <c r="A18" s="8">
        <f>Intro!E17</f>
        <v>19.133858267716533</v>
      </c>
      <c r="B18" s="10">
        <v>1.5</v>
      </c>
      <c r="C18" s="13">
        <f>B18*Intro!$H$49+Intro!$H$51</f>
        <v>26.130513670017535</v>
      </c>
      <c r="D18" s="18">
        <f>ABS(A18-C18)</f>
        <v>6.996655402301002</v>
      </c>
      <c r="E18" s="18">
        <f t="shared" si="0"/>
        <v>63.869486329982465</v>
      </c>
      <c r="F18" s="17">
        <f>$B$1*Intro!$L$13*Intro!$L$14*SIN(RADIANS(E18))</f>
        <v>0.2272296513500542</v>
      </c>
      <c r="G18" s="14">
        <v>0.27</v>
      </c>
      <c r="H18" s="17">
        <f t="shared" si="1"/>
        <v>1.1882252091478007</v>
      </c>
    </row>
    <row r="19" spans="1:8" ht="12.75">
      <c r="A19" s="8">
        <f>Intro!E18</f>
        <v>14.881889763779526</v>
      </c>
      <c r="B19" s="11"/>
      <c r="C19" s="13"/>
      <c r="D19" s="18"/>
      <c r="E19" s="18"/>
      <c r="F19" s="17"/>
      <c r="G19" s="14"/>
      <c r="H19" s="17"/>
    </row>
    <row r="20" spans="1:8" ht="12.75">
      <c r="A20" s="8">
        <f>Intro!E19</f>
        <v>9.212598425196845</v>
      </c>
      <c r="B20" s="10">
        <v>1.428</v>
      </c>
      <c r="C20" s="13">
        <f>B20*Intro!$H$49+Intro!$H$51</f>
        <v>16.215569191670056</v>
      </c>
      <c r="D20" s="18">
        <f>ABS(A20-C20)</f>
        <v>7.0029707664732115</v>
      </c>
      <c r="E20" s="18">
        <f t="shared" si="0"/>
        <v>73.78443080832994</v>
      </c>
      <c r="F20" s="17">
        <f>$B$1*Intro!$L$13*Intro!$L$14*SIN(RADIANS(E20))</f>
        <v>0.24302921460278157</v>
      </c>
      <c r="G20" s="14">
        <v>0.27</v>
      </c>
      <c r="H20" s="17">
        <f t="shared" si="1"/>
        <v>1.110977544166041</v>
      </c>
    </row>
    <row r="21" spans="1:8" ht="12.75">
      <c r="A21" s="8">
        <f>Intro!E20</f>
        <v>4.960629921259837</v>
      </c>
      <c r="B21" s="11"/>
      <c r="C21" s="13"/>
      <c r="D21" s="18"/>
      <c r="E21" s="18"/>
      <c r="F21" s="17"/>
      <c r="G21" s="14"/>
      <c r="H21" s="17"/>
    </row>
    <row r="22" spans="1:8" ht="12.75">
      <c r="A22" s="8">
        <f>Intro!E21</f>
        <v>-0.7086614173228298</v>
      </c>
      <c r="B22" s="10">
        <v>1.358</v>
      </c>
      <c r="C22" s="13">
        <f>B22*Intro!$H$49+Intro!$H$51</f>
        <v>6.57603983772114</v>
      </c>
      <c r="D22" s="18">
        <f>ABS(A22-C22)</f>
        <v>7.28470125504397</v>
      </c>
      <c r="E22" s="18">
        <f t="shared" si="0"/>
        <v>83.42396016227886</v>
      </c>
      <c r="F22" s="17">
        <f>$B$1*Intro!$L$13*Intro!$L$14*SIN(RADIANS(E22))</f>
        <v>0.25143280335986246</v>
      </c>
      <c r="G22" s="14">
        <v>0.27</v>
      </c>
      <c r="H22" s="17">
        <f t="shared" si="1"/>
        <v>1.0738455618838378</v>
      </c>
    </row>
    <row r="23" spans="1:8" ht="12.75">
      <c r="A23" s="8">
        <f>Intro!E22</f>
        <v>-6.377952755905511</v>
      </c>
      <c r="B23" s="11"/>
      <c r="C23" s="13"/>
      <c r="D23" s="18"/>
      <c r="E23" s="18"/>
      <c r="F23" s="17"/>
      <c r="G23" s="14"/>
      <c r="H23" s="17"/>
    </row>
    <row r="24" spans="1:8" ht="12.75">
      <c r="A24" s="8">
        <f>Intro!E23</f>
        <v>-10.629921259842519</v>
      </c>
      <c r="B24" s="10">
        <v>1.287</v>
      </c>
      <c r="C24" s="13">
        <f>B24*Intro!$H$49+Intro!$H$51</f>
        <v>-3.2011970784270716</v>
      </c>
      <c r="D24" s="18">
        <f>ABS(A24-C24)</f>
        <v>7.428724181415447</v>
      </c>
      <c r="E24" s="18">
        <f t="shared" si="0"/>
        <v>93.20119707842707</v>
      </c>
      <c r="F24" s="17">
        <f>$B$1*Intro!$L$13*Intro!$L$14*SIN(RADIANS(E24))</f>
        <v>0.2527030652955349</v>
      </c>
      <c r="G24" s="14">
        <v>0.27</v>
      </c>
      <c r="H24" s="17">
        <f t="shared" si="1"/>
        <v>1.0684476647888559</v>
      </c>
    </row>
    <row r="25" spans="1:8" ht="12.75">
      <c r="A25" s="8">
        <f>Intro!E24</f>
        <v>-16.2992125984252</v>
      </c>
      <c r="B25" s="11"/>
      <c r="C25" s="13"/>
      <c r="D25" s="18"/>
      <c r="E25" s="18"/>
      <c r="F25" s="17"/>
      <c r="G25" s="14"/>
      <c r="H25" s="17"/>
    </row>
    <row r="26" spans="1:8" ht="12.75">
      <c r="A26" s="8">
        <f>Intro!E25</f>
        <v>-20.551181102362207</v>
      </c>
      <c r="B26" s="10">
        <v>1.215</v>
      </c>
      <c r="C26" s="13">
        <f>B26*Intro!$H$49+Intro!$H$51</f>
        <v>-13.116141556774522</v>
      </c>
      <c r="D26" s="18">
        <f>ABS(A26-C26)</f>
        <v>7.435039545587685</v>
      </c>
      <c r="E26" s="18">
        <f t="shared" si="0"/>
        <v>103.11614155677452</v>
      </c>
      <c r="F26" s="17">
        <f>$B$1*Intro!$L$13*Intro!$L$14*SIN(RADIANS(E26))</f>
        <v>0.2464951985283297</v>
      </c>
      <c r="G26" s="14">
        <v>0.27</v>
      </c>
      <c r="H26" s="17">
        <f t="shared" si="1"/>
        <v>1.0953560215858278</v>
      </c>
    </row>
    <row r="27" spans="1:8" ht="12.75">
      <c r="A27" s="8">
        <f>Intro!E26</f>
        <v>-26.22047244094489</v>
      </c>
      <c r="B27" s="11"/>
      <c r="C27" s="13"/>
      <c r="D27" s="18"/>
      <c r="E27" s="18"/>
      <c r="F27" s="17"/>
      <c r="G27" s="14"/>
      <c r="H27" s="17"/>
    </row>
    <row r="28" spans="1:8" ht="12.75">
      <c r="A28" s="8">
        <f>Intro!E27</f>
        <v>-30.472440944881896</v>
      </c>
      <c r="B28" s="10">
        <v>1.142</v>
      </c>
      <c r="C28" s="13">
        <f>B28*Intro!$H$49+Intro!$H$51</f>
        <v>-23.168793597321297</v>
      </c>
      <c r="D28" s="18">
        <f>ABS(A28-C28)</f>
        <v>7.303647347560599</v>
      </c>
      <c r="E28" s="18">
        <f t="shared" si="0"/>
        <v>113.1687935973213</v>
      </c>
      <c r="F28" s="17">
        <f>$B$1*Intro!$L$13*Intro!$L$14*SIN(RADIANS(E28))</f>
        <v>0.23268558685697396</v>
      </c>
      <c r="G28" s="14">
        <v>0.27</v>
      </c>
      <c r="H28" s="17">
        <f t="shared" si="1"/>
        <v>1.1603640932257755</v>
      </c>
    </row>
    <row r="29" spans="1:8" ht="12.75">
      <c r="A29" s="8">
        <f>Intro!E28</f>
        <v>-36.14173228346456</v>
      </c>
      <c r="B29" s="10"/>
      <c r="C29" s="13"/>
      <c r="D29" s="18"/>
      <c r="E29" s="18"/>
      <c r="F29" s="17"/>
      <c r="G29" s="14"/>
      <c r="H29" s="17"/>
    </row>
    <row r="30" spans="1:8" ht="12.75">
      <c r="A30" s="8">
        <f>Intro!E29</f>
        <v>-40.39370078740157</v>
      </c>
      <c r="B30" s="10">
        <v>1.107</v>
      </c>
      <c r="C30" s="13">
        <f>B30*Intro!$H$49+Intro!$H$51</f>
        <v>-27.98855827429577</v>
      </c>
      <c r="D30" s="18">
        <f>ABS(A30-C30)</f>
        <v>12.405142513105801</v>
      </c>
      <c r="E30" s="18">
        <f t="shared" si="0"/>
        <v>117.98855827429577</v>
      </c>
      <c r="F30" s="17">
        <f>$B$1*Intro!$L$13*Intro!$L$14*SIN(RADIANS(E30))</f>
        <v>0.22349599371665851</v>
      </c>
      <c r="G30" s="14">
        <v>0.27</v>
      </c>
      <c r="H30" s="17">
        <f t="shared" si="1"/>
        <v>1.208075346273535</v>
      </c>
    </row>
    <row r="31" spans="1:8" ht="12.75">
      <c r="A31" s="8">
        <f>Intro!E30</f>
        <v>-46.062992125984266</v>
      </c>
      <c r="B31" s="10"/>
      <c r="C31" s="13"/>
      <c r="D31" s="18"/>
      <c r="E31" s="18"/>
      <c r="F31" s="17"/>
      <c r="G31" s="14"/>
      <c r="H31" s="17"/>
    </row>
    <row r="32" spans="1:8" ht="12.75">
      <c r="A32" s="8">
        <f>Intro!E31</f>
        <v>-50.31496062992127</v>
      </c>
      <c r="B32" s="10">
        <v>0.998</v>
      </c>
      <c r="C32" s="13">
        <f>B32*Intro!$H$49+Intro!$H$51</f>
        <v>-42.99868255401623</v>
      </c>
      <c r="D32" s="18">
        <f>ABS(A32-C32)</f>
        <v>7.316278075905046</v>
      </c>
      <c r="E32" s="18">
        <f t="shared" si="0"/>
        <v>132.99868255401623</v>
      </c>
      <c r="F32" s="17">
        <f>$B$1*Intro!$L$13*Intro!$L$14*SIN(RADIANS(E32))</f>
        <v>0.18510812813380415</v>
      </c>
      <c r="G32" s="14">
        <v>0.27</v>
      </c>
      <c r="H32" s="17">
        <f t="shared" si="1"/>
        <v>1.4586069381287912</v>
      </c>
    </row>
    <row r="33" spans="1:8" ht="12.75">
      <c r="A33" s="8">
        <f>Intro!E32</f>
        <v>-55.98425196850394</v>
      </c>
      <c r="B33" s="10"/>
      <c r="C33" s="13"/>
      <c r="D33" s="18"/>
      <c r="E33" s="18"/>
      <c r="F33" s="17"/>
      <c r="G33" s="14"/>
      <c r="H33" s="17"/>
    </row>
    <row r="34" spans="1:8" ht="12.75">
      <c r="A34" s="8">
        <f>Intro!E33</f>
        <v>-60.23622047244095</v>
      </c>
      <c r="B34" s="10">
        <v>0.872</v>
      </c>
      <c r="C34" s="13">
        <f>B34*Intro!$H$49+Intro!$H$51</f>
        <v>-60.349835391124316</v>
      </c>
      <c r="D34" s="18">
        <f>ABS(A34-C34)</f>
        <v>0.1136149186833677</v>
      </c>
      <c r="E34" s="18">
        <f t="shared" si="0"/>
        <v>150.34983539112432</v>
      </c>
      <c r="F34" s="17">
        <f>$B$1*Intro!$L$13*Intro!$L$14*SIN(RADIANS(E34))</f>
        <v>0.12520832791361164</v>
      </c>
      <c r="G34" s="14">
        <v>0.01</v>
      </c>
      <c r="H34" s="17">
        <f t="shared" si="1"/>
        <v>0.07986689197622358</v>
      </c>
    </row>
    <row r="35" spans="1:8" ht="12.75">
      <c r="A35" s="8">
        <f>Intro!E34</f>
        <v>-65.90551181102362</v>
      </c>
      <c r="B35" s="10"/>
      <c r="C35" s="13"/>
      <c r="D35" s="18"/>
      <c r="E35" s="18"/>
      <c r="F35" s="17"/>
      <c r="G35" s="14"/>
      <c r="H35" s="17"/>
    </row>
    <row r="36" spans="1:8" ht="12.75">
      <c r="A36" s="8">
        <f>Intro!E35</f>
        <v>-70.15748031496062</v>
      </c>
      <c r="B36" s="10">
        <v>0.796</v>
      </c>
      <c r="C36" s="13">
        <f>B36*Intro!$H$49+Intro!$H$51</f>
        <v>-70.81561011826886</v>
      </c>
      <c r="D36" s="18">
        <f>ABS(A36-C36)</f>
        <v>0.6581298033082419</v>
      </c>
      <c r="E36" s="18">
        <f t="shared" si="0"/>
        <v>160.81561011826886</v>
      </c>
      <c r="F36" s="17">
        <f>$B$1*Intro!$L$13*Intro!$L$14*SIN(RADIANS(E36))</f>
        <v>0.08317036701886316</v>
      </c>
      <c r="G36" s="14">
        <v>0.01</v>
      </c>
      <c r="H36" s="17">
        <f t="shared" si="1"/>
        <v>0.12023513131464222</v>
      </c>
    </row>
    <row r="37" spans="1:8" ht="12.75">
      <c r="A37" s="8">
        <f>Intro!E36</f>
        <v>-75.82677165354332</v>
      </c>
      <c r="B37" s="10"/>
      <c r="C37" s="13"/>
      <c r="D37" s="18"/>
      <c r="E37" s="18"/>
      <c r="F37" s="17"/>
      <c r="G37" s="14"/>
      <c r="H37" s="17"/>
    </row>
    <row r="38" spans="1:8" ht="12.75">
      <c r="A38" s="8">
        <f>Intro!E37</f>
        <v>-80.07874015748033</v>
      </c>
      <c r="B38" s="10">
        <v>0.721</v>
      </c>
      <c r="C38" s="13">
        <f>B38*Intro!$H$49+Intro!$H$51</f>
        <v>-81.14367728321416</v>
      </c>
      <c r="D38" s="18">
        <f>ABS(A38-C38)</f>
        <v>1.0649371257338345</v>
      </c>
      <c r="E38" s="18">
        <f t="shared" si="0"/>
        <v>171.14367728321417</v>
      </c>
      <c r="F38" s="17">
        <f>$B$1*Intro!$L$13*Intro!$L$14*SIN(RADIANS(E38))</f>
        <v>0.03896626126915101</v>
      </c>
      <c r="G38" s="14">
        <v>0.01</v>
      </c>
      <c r="H38" s="17">
        <f t="shared" si="1"/>
        <v>0.25663226787212573</v>
      </c>
    </row>
    <row r="39" spans="1:8" ht="12.75">
      <c r="A39" s="8">
        <f>Intro!E38</f>
        <v>-85.74803149606299</v>
      </c>
      <c r="B39" s="10"/>
      <c r="C39" s="13"/>
      <c r="D39" s="18"/>
      <c r="E39" s="18"/>
      <c r="F39" s="17"/>
      <c r="G39" s="14"/>
      <c r="H39" s="17"/>
    </row>
    <row r="40" spans="1:8" ht="12.75">
      <c r="A40" s="8">
        <f>Intro!E39</f>
        <v>-90</v>
      </c>
      <c r="B40" s="10">
        <v>0.648</v>
      </c>
      <c r="C40" s="13">
        <f>B40*Intro!$H$49+Intro!$H$51</f>
        <v>-91.19632932376089</v>
      </c>
      <c r="D40" s="18">
        <f>ABS(A40-C40)</f>
        <v>1.1963293237608923</v>
      </c>
      <c r="E40" s="18">
        <f t="shared" si="0"/>
        <v>181.1963293237609</v>
      </c>
      <c r="F40" s="17">
        <f>$B$1*Intro!$L$13*Intro!$L$14*SIN(RADIANS(E40))</f>
        <v>-0.00528427331184649</v>
      </c>
      <c r="G40" s="14">
        <v>0.01</v>
      </c>
      <c r="H40" s="17">
        <f t="shared" si="1"/>
        <v>-1.892407793817479</v>
      </c>
    </row>
    <row r="42" spans="4:5" ht="12.75">
      <c r="D42" s="1" t="s">
        <v>28</v>
      </c>
      <c r="E42" s="6"/>
    </row>
    <row r="43" spans="4:5" ht="12.75">
      <c r="D43" s="19">
        <f>MAX(D4:D40)</f>
        <v>12.405142513105801</v>
      </c>
      <c r="E43" s="21"/>
    </row>
  </sheetData>
  <mergeCells count="1">
    <mergeCell ref="D1:F1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D1">
      <selection activeCell="F4" sqref="F4"/>
    </sheetView>
  </sheetViews>
  <sheetFormatPr defaultColWidth="9.140625" defaultRowHeight="12.75"/>
  <cols>
    <col min="1" max="1" width="12.7109375" style="0" bestFit="1" customWidth="1"/>
    <col min="4" max="4" width="13.7109375" style="0" bestFit="1" customWidth="1"/>
    <col min="5" max="5" width="17.57421875" style="0" bestFit="1" customWidth="1"/>
    <col min="6" max="6" width="9.00390625" style="0" bestFit="1" customWidth="1"/>
  </cols>
  <sheetData>
    <row r="1" spans="1:2" ht="12.75">
      <c r="A1" s="20" t="s">
        <v>36</v>
      </c>
      <c r="B1" s="24">
        <f>Intro!L22</f>
        <v>0.463</v>
      </c>
    </row>
    <row r="2" spans="2:5" ht="12.75">
      <c r="B2" s="7"/>
      <c r="C2" s="7"/>
      <c r="D2" s="7"/>
      <c r="E2" s="7"/>
    </row>
    <row r="3" spans="1:8" ht="12.75">
      <c r="A3" s="4" t="s">
        <v>27</v>
      </c>
      <c r="B3" s="9" t="s">
        <v>15</v>
      </c>
      <c r="C3" s="13" t="s">
        <v>18</v>
      </c>
      <c r="D3" s="13" t="s">
        <v>10</v>
      </c>
      <c r="E3" s="13" t="s">
        <v>33</v>
      </c>
      <c r="F3" s="13" t="s">
        <v>34</v>
      </c>
      <c r="G3" s="9" t="s">
        <v>35</v>
      </c>
      <c r="H3" s="13" t="s">
        <v>37</v>
      </c>
    </row>
    <row r="4" spans="1:8" ht="12.75">
      <c r="A4" s="8">
        <f>Intro!E3</f>
        <v>90</v>
      </c>
      <c r="B4" s="10">
        <v>1.956</v>
      </c>
      <c r="C4" s="18">
        <f>B4*Intro!$H$49+Intro!$H$51</f>
        <v>88.92516203288488</v>
      </c>
      <c r="D4" s="18">
        <f>ABS(A4-C4)</f>
        <v>1.0748379671151156</v>
      </c>
      <c r="E4" s="18">
        <f>90-C4</f>
        <v>1.0748379671151156</v>
      </c>
      <c r="F4" s="15">
        <f>$B$1*Intro!$L$13*Intro!$L$14*SIN(RADIANS(E4))</f>
        <v>0.00852010392038888</v>
      </c>
      <c r="G4" s="14">
        <v>0.01</v>
      </c>
      <c r="H4" s="15">
        <f>G4/F4</f>
        <v>1.1736946043662309</v>
      </c>
    </row>
    <row r="5" spans="1:8" ht="12.75">
      <c r="A5" s="8">
        <f>Intro!E4</f>
        <v>84.33070866141732</v>
      </c>
      <c r="B5" s="10">
        <v>1.917</v>
      </c>
      <c r="C5" s="18">
        <f>B5*Intro!$H$49+Intro!$H$51</f>
        <v>83.55456710711331</v>
      </c>
      <c r="D5" s="18">
        <f aca="true" t="shared" si="0" ref="D5:D40">ABS(A5-C5)</f>
        <v>0.7761415543040044</v>
      </c>
      <c r="E5" s="18">
        <f aca="true" t="shared" si="1" ref="E5:E40">90-C5</f>
        <v>6.445432892886686</v>
      </c>
      <c r="F5" s="15">
        <f>$B$1*Intro!$L$13*Intro!$L$14*SIN(RADIANS(E5))</f>
        <v>0.05098742479225226</v>
      </c>
      <c r="G5" s="14">
        <v>0.01</v>
      </c>
      <c r="H5" s="15">
        <f aca="true" t="shared" si="2" ref="H5:H40">G5/F5</f>
        <v>0.19612679088510349</v>
      </c>
    </row>
    <row r="6" spans="1:8" ht="12.75">
      <c r="A6" s="8">
        <f>Intro!E5</f>
        <v>78.66141732283465</v>
      </c>
      <c r="B6" s="10">
        <v>1.876</v>
      </c>
      <c r="C6" s="18">
        <f>B6*Intro!$H$49+Intro!$H$51</f>
        <v>77.90855705694321</v>
      </c>
      <c r="D6" s="18">
        <f t="shared" si="0"/>
        <v>0.7528602658914423</v>
      </c>
      <c r="E6" s="18">
        <f t="shared" si="1"/>
        <v>12.09144294305679</v>
      </c>
      <c r="F6" s="15">
        <f>$B$1*Intro!$L$13*Intro!$L$14*SIN(RADIANS(E6))</f>
        <v>0.09514305145092138</v>
      </c>
      <c r="G6" s="14">
        <v>0.01</v>
      </c>
      <c r="H6" s="15">
        <f t="shared" si="2"/>
        <v>0.10510489045180986</v>
      </c>
    </row>
    <row r="7" spans="1:8" ht="12.75">
      <c r="A7" s="8">
        <f>Intro!E6</f>
        <v>74.40944881889763</v>
      </c>
      <c r="B7" s="10">
        <v>1.898</v>
      </c>
      <c r="C7" s="18">
        <f>B7*Intro!$H$49+Intro!$H$51</f>
        <v>80.93812342532715</v>
      </c>
      <c r="D7" s="18">
        <f t="shared" si="0"/>
        <v>6.528674606429519</v>
      </c>
      <c r="E7" s="18">
        <f t="shared" si="1"/>
        <v>9.061876574672851</v>
      </c>
      <c r="F7" s="15">
        <f>$B$1*Intro!$L$13*Intro!$L$14*SIN(RADIANS(E7))</f>
        <v>0.07153743923474115</v>
      </c>
      <c r="G7" s="14">
        <v>0.27</v>
      </c>
      <c r="H7" s="15">
        <f t="shared" si="2"/>
        <v>3.7742474833915822</v>
      </c>
    </row>
    <row r="8" spans="1:8" ht="12.75">
      <c r="A8" s="8">
        <f>Intro!E7</f>
        <v>68.74015748031496</v>
      </c>
      <c r="B8" s="10">
        <v>1.866</v>
      </c>
      <c r="C8" s="18">
        <f>B8*Intro!$H$49+Intro!$H$51</f>
        <v>76.53148143495054</v>
      </c>
      <c r="D8" s="18">
        <f t="shared" si="0"/>
        <v>7.791323954635573</v>
      </c>
      <c r="E8" s="18">
        <f t="shared" si="1"/>
        <v>13.468518565049465</v>
      </c>
      <c r="F8" s="15">
        <f>$B$1*Intro!$L$13*Intro!$L$14*SIN(RADIANS(E8))</f>
        <v>0.10578890010853115</v>
      </c>
      <c r="G8" s="14">
        <v>0.3</v>
      </c>
      <c r="H8" s="15">
        <f t="shared" si="2"/>
        <v>2.8358362710286564</v>
      </c>
    </row>
    <row r="9" spans="1:8" ht="12.75">
      <c r="A9" s="8">
        <f>Intro!E8</f>
        <v>64.48818897637796</v>
      </c>
      <c r="B9" s="10">
        <v>1.849</v>
      </c>
      <c r="C9" s="18">
        <f>B9*Intro!$H$49+Intro!$H$51</f>
        <v>74.19045287756293</v>
      </c>
      <c r="D9" s="18">
        <f t="shared" si="0"/>
        <v>9.702263901184978</v>
      </c>
      <c r="E9" s="18">
        <f t="shared" si="1"/>
        <v>15.809547122437067</v>
      </c>
      <c r="F9" s="15">
        <f>$B$1*Intro!$L$13*Intro!$L$14*SIN(RADIANS(E9))</f>
        <v>0.12374332712855989</v>
      </c>
      <c r="G9" s="14">
        <v>0.37</v>
      </c>
      <c r="H9" s="15">
        <f t="shared" si="2"/>
        <v>2.9900602205046436</v>
      </c>
    </row>
    <row r="10" spans="1:8" ht="12.75">
      <c r="A10" s="8">
        <f>Intro!E9</f>
        <v>58.818897637795274</v>
      </c>
      <c r="B10" s="10">
        <v>1.818</v>
      </c>
      <c r="C10" s="18">
        <f>B10*Intro!$H$49+Intro!$H$51</f>
        <v>69.92151844938556</v>
      </c>
      <c r="D10" s="18">
        <f t="shared" si="0"/>
        <v>11.102620811590285</v>
      </c>
      <c r="E10" s="18">
        <f t="shared" si="1"/>
        <v>20.07848155061444</v>
      </c>
      <c r="F10" s="15">
        <f>$B$1*Intro!$L$13*Intro!$L$14*SIN(RADIANS(E10))</f>
        <v>0.1559310587846933</v>
      </c>
      <c r="G10" s="14">
        <v>0.43</v>
      </c>
      <c r="H10" s="15">
        <f t="shared" si="2"/>
        <v>2.7576289377585512</v>
      </c>
    </row>
    <row r="11" spans="1:8" ht="12.75">
      <c r="A11" s="8">
        <f>Intro!E10</f>
        <v>54.56692913385827</v>
      </c>
      <c r="B11" s="10">
        <v>1.793</v>
      </c>
      <c r="C11" s="18">
        <f>B11*Intro!$H$49+Intro!$H$51</f>
        <v>66.47882939440376</v>
      </c>
      <c r="D11" s="18">
        <f t="shared" si="0"/>
        <v>11.911900260545494</v>
      </c>
      <c r="E11" s="18">
        <f t="shared" si="1"/>
        <v>23.52117060559624</v>
      </c>
      <c r="F11" s="15">
        <f>$B$1*Intro!$L$13*Intro!$L$14*SIN(RADIANS(E11))</f>
        <v>0.18126691800758302</v>
      </c>
      <c r="G11" s="14">
        <v>0.46</v>
      </c>
      <c r="H11" s="15">
        <f t="shared" si="2"/>
        <v>2.537694164253163</v>
      </c>
    </row>
    <row r="12" spans="1:8" ht="12.75">
      <c r="A12" s="8">
        <f>Intro!E11</f>
        <v>48.89763779527559</v>
      </c>
      <c r="B12" s="10">
        <v>1.753</v>
      </c>
      <c r="C12" s="18">
        <f>B12*Intro!$H$49+Intro!$H$51</f>
        <v>60.97052690643295</v>
      </c>
      <c r="D12" s="18">
        <f t="shared" si="0"/>
        <v>12.072889111157359</v>
      </c>
      <c r="E12" s="18">
        <f t="shared" si="1"/>
        <v>29.02947309356705</v>
      </c>
      <c r="F12" s="15">
        <f>$B$1*Intro!$L$13*Intro!$L$14*SIN(RADIANS(E12))</f>
        <v>0.22040630372229364</v>
      </c>
      <c r="G12" s="14">
        <v>0.46</v>
      </c>
      <c r="H12" s="15">
        <f t="shared" si="2"/>
        <v>2.0870546451320573</v>
      </c>
    </row>
    <row r="13" spans="1:8" ht="12.75">
      <c r="A13" s="8">
        <f>Intro!E12</f>
        <v>44.645669291338585</v>
      </c>
      <c r="B13" s="10">
        <v>1.75</v>
      </c>
      <c r="C13" s="18">
        <f>B13*Intro!$H$49+Intro!$H$51</f>
        <v>60.55740421983515</v>
      </c>
      <c r="D13" s="18">
        <f t="shared" si="0"/>
        <v>15.911734928496564</v>
      </c>
      <c r="E13" s="18">
        <f t="shared" si="1"/>
        <v>29.44259578016485</v>
      </c>
      <c r="F13" s="15">
        <f>$B$1*Intro!$L$13*Intro!$L$14*SIN(RADIANS(E13))</f>
        <v>0.22326407971870493</v>
      </c>
      <c r="G13" s="14">
        <v>0.6</v>
      </c>
      <c r="H13" s="15">
        <f t="shared" si="2"/>
        <v>2.6874005023824363</v>
      </c>
    </row>
    <row r="14" spans="1:8" ht="12.75">
      <c r="A14" s="8">
        <f>Intro!E13</f>
        <v>38.976377952755904</v>
      </c>
      <c r="B14" s="10">
        <v>1.707</v>
      </c>
      <c r="C14" s="18">
        <f>B14*Intro!$H$49+Intro!$H$51</f>
        <v>54.63597904526654</v>
      </c>
      <c r="D14" s="18">
        <f t="shared" si="0"/>
        <v>15.659601092510634</v>
      </c>
      <c r="E14" s="18">
        <f t="shared" si="1"/>
        <v>35.36402095473346</v>
      </c>
      <c r="F14" s="15">
        <f>$B$1*Intro!$L$13*Intro!$L$14*SIN(RADIANS(E14))</f>
        <v>0.2628787053037799</v>
      </c>
      <c r="G14" s="14">
        <v>0.6</v>
      </c>
      <c r="H14" s="15">
        <f t="shared" si="2"/>
        <v>2.2824214662296294</v>
      </c>
    </row>
    <row r="15" spans="1:8" ht="12.75">
      <c r="A15" s="8">
        <f>Intro!E14</f>
        <v>34.724409448818896</v>
      </c>
      <c r="B15" s="10">
        <v>1.684</v>
      </c>
      <c r="C15" s="18">
        <f>B15*Intro!$H$49+Intro!$H$51</f>
        <v>51.4687051146833</v>
      </c>
      <c r="D15" s="18">
        <f t="shared" si="0"/>
        <v>16.744295665864406</v>
      </c>
      <c r="E15" s="18">
        <f t="shared" si="1"/>
        <v>38.5312948853167</v>
      </c>
      <c r="F15" s="15">
        <f>$B$1*Intro!$L$13*Intro!$L$14*SIN(RADIANS(E15))</f>
        <v>0.28294212676329794</v>
      </c>
      <c r="G15" s="14">
        <v>0.62</v>
      </c>
      <c r="H15" s="15">
        <f t="shared" si="2"/>
        <v>2.1912608316494206</v>
      </c>
    </row>
    <row r="16" spans="1:8" ht="12.75">
      <c r="A16" s="8">
        <f>Intro!E15</f>
        <v>29.055118110236222</v>
      </c>
      <c r="B16" s="10">
        <v>1.643</v>
      </c>
      <c r="C16" s="18">
        <f>B16*Intro!$H$49+Intro!$H$51</f>
        <v>45.822695064513226</v>
      </c>
      <c r="D16" s="18">
        <f t="shared" si="0"/>
        <v>16.767576954277004</v>
      </c>
      <c r="E16" s="18">
        <f t="shared" si="1"/>
        <v>44.177304935486774</v>
      </c>
      <c r="F16" s="15">
        <f>$B$1*Intro!$L$13*Intro!$L$14*SIN(RADIANS(E16))</f>
        <v>0.3165254759518495</v>
      </c>
      <c r="G16" s="14">
        <v>0.64</v>
      </c>
      <c r="H16" s="15">
        <f t="shared" si="2"/>
        <v>2.0219541510060255</v>
      </c>
    </row>
    <row r="17" spans="1:8" ht="12.75">
      <c r="A17" s="8">
        <f>Intro!E16</f>
        <v>24.803149606299215</v>
      </c>
      <c r="B17" s="10">
        <v>1.635</v>
      </c>
      <c r="C17" s="18">
        <f>B17*Intro!$H$49+Intro!$H$51</f>
        <v>44.72103456691906</v>
      </c>
      <c r="D17" s="18">
        <f t="shared" si="0"/>
        <v>19.917884960619844</v>
      </c>
      <c r="E17" s="18">
        <f t="shared" si="1"/>
        <v>45.27896543308094</v>
      </c>
      <c r="F17" s="15">
        <f>$B$1*Intro!$L$13*Intro!$L$14*SIN(RADIANS(E17))</f>
        <v>0.32272994193482635</v>
      </c>
      <c r="G17" s="14">
        <v>0.74</v>
      </c>
      <c r="H17" s="15">
        <f t="shared" si="2"/>
        <v>2.2929387820775524</v>
      </c>
    </row>
    <row r="18" spans="1:8" ht="12.75">
      <c r="A18" s="8">
        <f>Intro!E17</f>
        <v>19.133858267716533</v>
      </c>
      <c r="B18" s="10">
        <v>1.592</v>
      </c>
      <c r="C18" s="18">
        <f>B18*Intro!$H$49+Intro!$H$51</f>
        <v>38.79960939235042</v>
      </c>
      <c r="D18" s="18">
        <f t="shared" si="0"/>
        <v>19.665751124633886</v>
      </c>
      <c r="E18" s="18">
        <f t="shared" si="1"/>
        <v>51.20039060764958</v>
      </c>
      <c r="F18" s="15">
        <f>$B$1*Intro!$L$13*Intro!$L$14*SIN(RADIANS(E18))</f>
        <v>0.3539795819429588</v>
      </c>
      <c r="G18" s="14">
        <v>0.74</v>
      </c>
      <c r="H18" s="15">
        <f t="shared" si="2"/>
        <v>2.090516057277127</v>
      </c>
    </row>
    <row r="19" spans="1:8" ht="12.75">
      <c r="A19" s="8">
        <f>Intro!E18</f>
        <v>14.881889763779526</v>
      </c>
      <c r="B19" s="10">
        <v>1.564</v>
      </c>
      <c r="C19" s="18">
        <f>B19*Intro!$H$49+Intro!$H$51</f>
        <v>34.94379765077085</v>
      </c>
      <c r="D19" s="18">
        <f t="shared" si="0"/>
        <v>20.06190788699132</v>
      </c>
      <c r="E19" s="18">
        <f t="shared" si="1"/>
        <v>55.05620234922915</v>
      </c>
      <c r="F19" s="15">
        <f>$B$1*Intro!$L$13*Intro!$L$14*SIN(RADIANS(E19))</f>
        <v>0.3723166853158097</v>
      </c>
      <c r="G19" s="14">
        <v>0.74</v>
      </c>
      <c r="H19" s="15">
        <f t="shared" si="2"/>
        <v>1.9875552968363768</v>
      </c>
    </row>
    <row r="20" spans="1:8" ht="12.75">
      <c r="A20" s="8">
        <f>Intro!E19</f>
        <v>9.212598425196845</v>
      </c>
      <c r="B20" s="10">
        <v>1.517</v>
      </c>
      <c r="C20" s="18">
        <f>B20*Intro!$H$49+Intro!$H$51</f>
        <v>28.47154222740511</v>
      </c>
      <c r="D20" s="18">
        <f t="shared" si="0"/>
        <v>19.258943802208265</v>
      </c>
      <c r="E20" s="18">
        <f t="shared" si="1"/>
        <v>61.52845777259489</v>
      </c>
      <c r="F20" s="15">
        <f>$B$1*Intro!$L$13*Intro!$L$14*SIN(RADIANS(E20))</f>
        <v>0.399268964116119</v>
      </c>
      <c r="G20" s="14">
        <v>0.74</v>
      </c>
      <c r="H20" s="15">
        <f t="shared" si="2"/>
        <v>1.8533872314322595</v>
      </c>
    </row>
    <row r="21" spans="1:8" ht="12.75">
      <c r="A21" s="8">
        <f>Intro!E20</f>
        <v>4.960629921259837</v>
      </c>
      <c r="B21" s="10">
        <v>1.506</v>
      </c>
      <c r="C21" s="18">
        <f>B21*Intro!$H$49+Intro!$H$51</f>
        <v>26.956759043213168</v>
      </c>
      <c r="D21" s="18">
        <f t="shared" si="0"/>
        <v>21.99612912195333</v>
      </c>
      <c r="E21" s="18">
        <f t="shared" si="1"/>
        <v>63.04324095678683</v>
      </c>
      <c r="F21" s="15">
        <f>$B$1*Intro!$L$13*Intro!$L$14*SIN(RADIANS(E21))</f>
        <v>0.4048533424783936</v>
      </c>
      <c r="G21" s="14">
        <v>0.82</v>
      </c>
      <c r="H21" s="15">
        <f t="shared" si="2"/>
        <v>2.0254247994599726</v>
      </c>
    </row>
    <row r="22" spans="1:8" ht="12.75">
      <c r="A22" s="8">
        <f>Intro!E21</f>
        <v>-0.7086614173228298</v>
      </c>
      <c r="B22" s="10">
        <v>1.453</v>
      </c>
      <c r="C22" s="18">
        <f>B22*Intro!$H$49+Intro!$H$51</f>
        <v>19.658258246651826</v>
      </c>
      <c r="D22" s="18">
        <f t="shared" si="0"/>
        <v>20.366919663974656</v>
      </c>
      <c r="E22" s="18">
        <f t="shared" si="1"/>
        <v>70.34174175334817</v>
      </c>
      <c r="F22" s="15">
        <f>$B$1*Intro!$L$13*Intro!$L$14*SIN(RADIANS(E22))</f>
        <v>0.4277301775258759</v>
      </c>
      <c r="G22" s="14">
        <v>0.75</v>
      </c>
      <c r="H22" s="15">
        <f t="shared" si="2"/>
        <v>1.753441864537669</v>
      </c>
    </row>
    <row r="23" spans="1:8" ht="12.75">
      <c r="A23" s="8">
        <f>Intro!E22</f>
        <v>-6.377952755905511</v>
      </c>
      <c r="B23" s="10">
        <v>1.406</v>
      </c>
      <c r="C23" s="18">
        <f>B23*Intro!$H$49+Intro!$H$51</f>
        <v>13.186002823286088</v>
      </c>
      <c r="D23" s="18">
        <f t="shared" si="0"/>
        <v>19.5639555791916</v>
      </c>
      <c r="E23" s="18">
        <f t="shared" si="1"/>
        <v>76.81399717671391</v>
      </c>
      <c r="F23" s="15">
        <f>$B$1*Intro!$L$13*Intro!$L$14*SIN(RADIANS(E23))</f>
        <v>0.4422277831180162</v>
      </c>
      <c r="G23" s="14">
        <v>0.71</v>
      </c>
      <c r="H23" s="15">
        <f t="shared" si="2"/>
        <v>1.6055074491114099</v>
      </c>
    </row>
    <row r="24" spans="1:8" ht="12.75">
      <c r="A24" s="8">
        <f>Intro!E23</f>
        <v>-10.629921259842519</v>
      </c>
      <c r="B24" s="10">
        <v>1.375</v>
      </c>
      <c r="C24" s="18">
        <f>B24*Intro!$H$49+Intro!$H$51</f>
        <v>8.917068395108743</v>
      </c>
      <c r="D24" s="18">
        <f t="shared" si="0"/>
        <v>19.54698965495126</v>
      </c>
      <c r="E24" s="18">
        <f t="shared" si="1"/>
        <v>81.08293160489126</v>
      </c>
      <c r="F24" s="15">
        <f>$B$1*Intro!$L$13*Intro!$L$14*SIN(RADIANS(E24))</f>
        <v>0.44871338161302715</v>
      </c>
      <c r="G24" s="14">
        <v>0.71</v>
      </c>
      <c r="H24" s="15">
        <f t="shared" si="2"/>
        <v>1.582301819142777</v>
      </c>
    </row>
    <row r="25" spans="1:8" ht="12.75">
      <c r="A25" s="8">
        <f>Intro!E24</f>
        <v>-16.2992125984252</v>
      </c>
      <c r="B25" s="10">
        <v>1.336</v>
      </c>
      <c r="C25" s="18">
        <f>B25*Intro!$H$49+Intro!$H$51</f>
        <v>3.546473469337201</v>
      </c>
      <c r="D25" s="18">
        <f t="shared" si="0"/>
        <v>19.8456860677624</v>
      </c>
      <c r="E25" s="18">
        <f t="shared" si="1"/>
        <v>86.4535265306628</v>
      </c>
      <c r="F25" s="15">
        <f>$B$1*Intro!$L$13*Intro!$L$14*SIN(RADIANS(E25))</f>
        <v>0.4533331797700972</v>
      </c>
      <c r="G25" s="14">
        <v>0.72</v>
      </c>
      <c r="H25" s="15">
        <f t="shared" si="2"/>
        <v>1.5882358321205166</v>
      </c>
    </row>
    <row r="26" spans="1:8" ht="12.75">
      <c r="A26" s="8">
        <f>Intro!E25</f>
        <v>-20.551181102362207</v>
      </c>
      <c r="B26" s="10">
        <v>1.29</v>
      </c>
      <c r="C26" s="18">
        <f>B26*Intro!$H$49+Intro!$H$51</f>
        <v>-2.7880743918292694</v>
      </c>
      <c r="D26" s="18">
        <f t="shared" si="0"/>
        <v>17.763106710532938</v>
      </c>
      <c r="E26" s="18">
        <f t="shared" si="1"/>
        <v>92.78807439182927</v>
      </c>
      <c r="F26" s="15">
        <f>$B$1*Intro!$L$13*Intro!$L$14*SIN(RADIANS(E26))</f>
        <v>0.4536653523473462</v>
      </c>
      <c r="G26" s="14">
        <v>0.66</v>
      </c>
      <c r="H26" s="15">
        <f t="shared" si="2"/>
        <v>1.4548168525214484</v>
      </c>
    </row>
    <row r="27" spans="1:8" ht="12.75">
      <c r="A27" s="8">
        <f>Intro!E26</f>
        <v>-26.22047244094489</v>
      </c>
      <c r="B27" s="10">
        <v>1.255</v>
      </c>
      <c r="C27" s="18">
        <f>B27*Intro!$H$49+Intro!$H$51</f>
        <v>-7.607839068803742</v>
      </c>
      <c r="D27" s="18">
        <f t="shared" si="0"/>
        <v>18.612633372141147</v>
      </c>
      <c r="E27" s="18">
        <f t="shared" si="1"/>
        <v>97.60783906880374</v>
      </c>
      <c r="F27" s="15">
        <f>$B$1*Intro!$L$13*Intro!$L$14*SIN(RADIANS(E27))</f>
        <v>0.4502048490133174</v>
      </c>
      <c r="G27" s="14">
        <v>0.68</v>
      </c>
      <c r="H27" s="15">
        <f t="shared" si="2"/>
        <v>1.5104235360643241</v>
      </c>
    </row>
    <row r="28" spans="1:8" ht="12.75">
      <c r="A28" s="8">
        <f>Intro!E27</f>
        <v>-30.472440944881896</v>
      </c>
      <c r="B28" s="10">
        <v>1.214</v>
      </c>
      <c r="C28" s="18">
        <f>B28*Intro!$H$49+Intro!$H$51</f>
        <v>-13.253849118973818</v>
      </c>
      <c r="D28" s="18">
        <f t="shared" si="0"/>
        <v>17.218591825908078</v>
      </c>
      <c r="E28" s="18">
        <f t="shared" si="1"/>
        <v>103.25384911897382</v>
      </c>
      <c r="F28" s="15">
        <f>$B$1*Intro!$L$13*Intro!$L$14*SIN(RADIANS(E28))</f>
        <v>0.4421047846802707</v>
      </c>
      <c r="G28" s="14">
        <v>0.65</v>
      </c>
      <c r="H28" s="15">
        <f t="shared" si="2"/>
        <v>1.4702396864356009</v>
      </c>
    </row>
    <row r="29" spans="1:8" ht="12.75">
      <c r="A29" s="8">
        <f>Intro!E28</f>
        <v>-36.14173228346456</v>
      </c>
      <c r="B29" s="10">
        <v>1.175</v>
      </c>
      <c r="C29" s="18">
        <f>B29*Intro!$H$49+Intro!$H$51</f>
        <v>-18.62444404474536</v>
      </c>
      <c r="D29" s="18">
        <f t="shared" si="0"/>
        <v>17.517288238719203</v>
      </c>
      <c r="E29" s="18">
        <f t="shared" si="1"/>
        <v>108.62444404474536</v>
      </c>
      <c r="F29" s="15">
        <f>$B$1*Intro!$L$13*Intro!$L$14*SIN(RADIANS(E29))</f>
        <v>0.4304174092341356</v>
      </c>
      <c r="G29" s="14">
        <v>0.64</v>
      </c>
      <c r="H29" s="15">
        <f t="shared" si="2"/>
        <v>1.4869287028579672</v>
      </c>
    </row>
    <row r="30" spans="1:8" ht="12.75">
      <c r="A30" s="8">
        <f>Intro!E29</f>
        <v>-40.39370078740157</v>
      </c>
      <c r="B30" s="10">
        <v>1.134</v>
      </c>
      <c r="C30" s="18">
        <f>B30*Intro!$H$49+Intro!$H$51</f>
        <v>-24.270454094915465</v>
      </c>
      <c r="D30" s="18">
        <f t="shared" si="0"/>
        <v>16.123246692486106</v>
      </c>
      <c r="E30" s="18">
        <f t="shared" si="1"/>
        <v>114.27045409491546</v>
      </c>
      <c r="F30" s="15">
        <f>$B$1*Intro!$L$13*Intro!$L$14*SIN(RADIANS(E30))</f>
        <v>0.41405843245888196</v>
      </c>
      <c r="G30" s="14">
        <v>0.61</v>
      </c>
      <c r="H30" s="15">
        <f t="shared" si="2"/>
        <v>1.4732220193597336</v>
      </c>
    </row>
    <row r="31" spans="1:8" ht="12.75">
      <c r="A31" s="8">
        <f>Intro!E30</f>
        <v>-46.062992125984266</v>
      </c>
      <c r="B31" s="10">
        <v>1.083</v>
      </c>
      <c r="C31" s="18">
        <f>B31*Intro!$H$49+Intro!$H$51</f>
        <v>-31.293539767078244</v>
      </c>
      <c r="D31" s="18">
        <f t="shared" si="0"/>
        <v>14.769452358906022</v>
      </c>
      <c r="E31" s="18">
        <f t="shared" si="1"/>
        <v>121.29353976707824</v>
      </c>
      <c r="F31" s="15">
        <f>$B$1*Intro!$L$13*Intro!$L$14*SIN(RADIANS(E31))</f>
        <v>0.3881243674017031</v>
      </c>
      <c r="G31" s="14">
        <v>0.54</v>
      </c>
      <c r="H31" s="15">
        <f t="shared" si="2"/>
        <v>1.3913066154929352</v>
      </c>
    </row>
    <row r="32" spans="1:8" ht="12.75">
      <c r="A32" s="8">
        <f>Intro!E31</f>
        <v>-50.31496062992127</v>
      </c>
      <c r="B32" s="10">
        <v>1.035</v>
      </c>
      <c r="C32" s="18">
        <f>B32*Intro!$H$49+Intro!$H$51</f>
        <v>-37.90350275264325</v>
      </c>
      <c r="D32" s="18">
        <f t="shared" si="0"/>
        <v>12.411457877278025</v>
      </c>
      <c r="E32" s="18">
        <f t="shared" si="1"/>
        <v>127.90350275264325</v>
      </c>
      <c r="F32" s="15">
        <f>$B$1*Intro!$L$13*Intro!$L$14*SIN(RADIANS(E32))</f>
        <v>0.3583873007479744</v>
      </c>
      <c r="G32" s="14">
        <v>0.48</v>
      </c>
      <c r="H32" s="15">
        <f t="shared" si="2"/>
        <v>1.3393331711202183</v>
      </c>
    </row>
    <row r="33" spans="1:8" ht="12.75">
      <c r="A33" s="8">
        <f>Intro!E32</f>
        <v>-55.98425196850394</v>
      </c>
      <c r="B33" s="10">
        <v>0.981</v>
      </c>
      <c r="C33" s="18">
        <f>B33*Intro!$H$49+Intro!$H$51</f>
        <v>-45.33971111140383</v>
      </c>
      <c r="D33" s="18">
        <f t="shared" si="0"/>
        <v>10.644540857100111</v>
      </c>
      <c r="E33" s="18">
        <f t="shared" si="1"/>
        <v>135.33971111140383</v>
      </c>
      <c r="F33" s="15">
        <f>$B$1*Intro!$L$13*Intro!$L$14*SIN(RADIANS(E33))</f>
        <v>0.3192601453949512</v>
      </c>
      <c r="G33" s="14">
        <v>0.41</v>
      </c>
      <c r="H33" s="15">
        <f t="shared" si="2"/>
        <v>1.2842191733415271</v>
      </c>
    </row>
    <row r="34" spans="1:8" ht="12.75">
      <c r="A34" s="8">
        <f>Intro!E33</f>
        <v>-60.23622047244095</v>
      </c>
      <c r="B34" s="10">
        <v>0.945</v>
      </c>
      <c r="C34" s="18">
        <f>B34*Intro!$H$49+Intro!$H$51</f>
        <v>-50.29718335057757</v>
      </c>
      <c r="D34" s="18">
        <f t="shared" si="0"/>
        <v>9.939037121863379</v>
      </c>
      <c r="E34" s="18">
        <f t="shared" si="1"/>
        <v>140.29718335057757</v>
      </c>
      <c r="F34" s="15">
        <f>$B$1*Intro!$L$13*Intro!$L$14*SIN(RADIANS(E34))</f>
        <v>0.2901474382306534</v>
      </c>
      <c r="G34" s="14">
        <v>0.39</v>
      </c>
      <c r="H34" s="15">
        <f t="shared" si="2"/>
        <v>1.3441442129499988</v>
      </c>
    </row>
    <row r="35" spans="1:8" ht="12.75">
      <c r="A35" s="8">
        <f>Intro!E34</f>
        <v>-65.90551181102362</v>
      </c>
      <c r="B35" s="10">
        <v>0.899</v>
      </c>
      <c r="C35" s="18">
        <f>B35*Intro!$H$49+Intro!$H$51</f>
        <v>-56.63173121174401</v>
      </c>
      <c r="D35" s="18">
        <f t="shared" si="0"/>
        <v>9.273780599279604</v>
      </c>
      <c r="E35" s="18">
        <f t="shared" si="1"/>
        <v>146.631731211744</v>
      </c>
      <c r="F35" s="15">
        <f>$B$1*Intro!$L$13*Intro!$L$14*SIN(RADIANS(E35))</f>
        <v>0.24981996425605518</v>
      </c>
      <c r="G35" s="14">
        <v>0.37</v>
      </c>
      <c r="H35" s="15">
        <f t="shared" si="2"/>
        <v>1.481066579694028</v>
      </c>
    </row>
    <row r="36" spans="1:8" ht="12.75">
      <c r="A36" s="8">
        <f>Intro!E35</f>
        <v>-70.15748031496062</v>
      </c>
      <c r="B36" s="10">
        <v>0.85</v>
      </c>
      <c r="C36" s="18">
        <f>B36*Intro!$H$49+Intro!$H$51</f>
        <v>-63.37940175950827</v>
      </c>
      <c r="D36" s="18">
        <f t="shared" si="0"/>
        <v>6.778078555452353</v>
      </c>
      <c r="E36" s="18">
        <f t="shared" si="1"/>
        <v>153.37940175950826</v>
      </c>
      <c r="F36" s="15">
        <f>$B$1*Intro!$L$13*Intro!$L$14*SIN(RADIANS(E36))</f>
        <v>0.2035195135677246</v>
      </c>
      <c r="G36" s="14">
        <v>0.28</v>
      </c>
      <c r="H36" s="15">
        <f t="shared" si="2"/>
        <v>1.3757894517904556</v>
      </c>
    </row>
    <row r="37" spans="1:8" ht="12.75">
      <c r="A37" s="8">
        <f>Intro!E36</f>
        <v>-75.82677165354332</v>
      </c>
      <c r="B37" s="10">
        <v>0.804</v>
      </c>
      <c r="C37" s="18">
        <f>B37*Intro!$H$49+Intro!$H$51</f>
        <v>-69.7139496206747</v>
      </c>
      <c r="D37" s="18">
        <f t="shared" si="0"/>
        <v>6.112822032868621</v>
      </c>
      <c r="E37" s="18">
        <f t="shared" si="1"/>
        <v>159.7139496206747</v>
      </c>
      <c r="F37" s="15">
        <f>$B$1*Intro!$L$13*Intro!$L$14*SIN(RADIANS(E37))</f>
        <v>0.15747549417665893</v>
      </c>
      <c r="G37" s="14">
        <v>0.27</v>
      </c>
      <c r="H37" s="15">
        <f t="shared" si="2"/>
        <v>1.7145524858433465</v>
      </c>
    </row>
    <row r="38" spans="1:8" ht="12.75">
      <c r="A38" s="8">
        <f>Intro!E37</f>
        <v>-80.07874015748033</v>
      </c>
      <c r="B38" s="10">
        <v>0.723</v>
      </c>
      <c r="C38" s="18">
        <f>B38*Intro!$H$49+Intro!$H$51</f>
        <v>-80.86826215881561</v>
      </c>
      <c r="D38" s="18">
        <f t="shared" si="0"/>
        <v>0.7895220013352855</v>
      </c>
      <c r="E38" s="18">
        <f t="shared" si="1"/>
        <v>170.8682621588156</v>
      </c>
      <c r="F38" s="15">
        <f>$B$1*Intro!$L$13*Intro!$L$14*SIN(RADIANS(E38))</f>
        <v>0.07208428753302346</v>
      </c>
      <c r="G38" s="14">
        <v>0.01</v>
      </c>
      <c r="H38" s="15">
        <f t="shared" si="2"/>
        <v>0.13872648731415668</v>
      </c>
    </row>
    <row r="39" spans="1:8" ht="12.75">
      <c r="A39" s="8">
        <f>Intro!E38</f>
        <v>-85.74803149606299</v>
      </c>
      <c r="B39" s="10">
        <v>0.681</v>
      </c>
      <c r="C39" s="18">
        <f>B39*Intro!$H$49+Intro!$H$51</f>
        <v>-86.65197977118495</v>
      </c>
      <c r="D39" s="18">
        <f t="shared" si="0"/>
        <v>0.9039482751219623</v>
      </c>
      <c r="E39" s="18">
        <f t="shared" si="1"/>
        <v>176.65197977118495</v>
      </c>
      <c r="F39" s="15">
        <f>$B$1*Intro!$L$13*Intro!$L$14*SIN(RADIANS(E39))</f>
        <v>0.026525785861027343</v>
      </c>
      <c r="G39" s="14">
        <v>0.01</v>
      </c>
      <c r="H39" s="15">
        <f t="shared" si="2"/>
        <v>0.3769916583203805</v>
      </c>
    </row>
    <row r="40" spans="1:8" ht="12.75">
      <c r="A40" s="8">
        <f>Intro!E39</f>
        <v>-90</v>
      </c>
      <c r="B40" s="10">
        <v>0.65</v>
      </c>
      <c r="C40" s="18">
        <f>B40*Intro!$H$49+Intro!$H$51</f>
        <v>-90.92091419936234</v>
      </c>
      <c r="D40" s="18">
        <f t="shared" si="0"/>
        <v>0.9209141993623433</v>
      </c>
      <c r="E40" s="18">
        <f t="shared" si="1"/>
        <v>180.92091419936236</v>
      </c>
      <c r="F40" s="15">
        <f>$B$1*Intro!$L$13*Intro!$L$14*SIN(RADIANS(E40))</f>
        <v>-0.007300083636055146</v>
      </c>
      <c r="G40" s="14">
        <v>0.01</v>
      </c>
      <c r="H40" s="15">
        <f t="shared" si="2"/>
        <v>-1.369847319366309</v>
      </c>
    </row>
    <row r="42" spans="4:5" ht="12.75">
      <c r="D42" s="1" t="s">
        <v>28</v>
      </c>
      <c r="E42" s="6"/>
    </row>
    <row r="43" spans="4:5" ht="12.75">
      <c r="D43" s="19">
        <f>MAX(D4:D40)</f>
        <v>21.99612912195333</v>
      </c>
      <c r="E43" s="21"/>
    </row>
  </sheetData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1" sqref="D1:F1"/>
    </sheetView>
  </sheetViews>
  <sheetFormatPr defaultColWidth="9.140625" defaultRowHeight="12.75"/>
  <cols>
    <col min="1" max="1" width="12.7109375" style="0" bestFit="1" customWidth="1"/>
    <col min="4" max="4" width="13.7109375" style="0" bestFit="1" customWidth="1"/>
    <col min="5" max="5" width="17.57421875" style="0" bestFit="1" customWidth="1"/>
    <col min="6" max="6" width="9.00390625" style="0" bestFit="1" customWidth="1"/>
  </cols>
  <sheetData>
    <row r="1" spans="1:6" ht="12.75">
      <c r="A1" s="20" t="s">
        <v>38</v>
      </c>
      <c r="B1">
        <f>Intro!L21+Intro!L22</f>
        <v>0.7210000000000001</v>
      </c>
      <c r="D1" s="42" t="s">
        <v>53</v>
      </c>
      <c r="E1" s="42"/>
      <c r="F1" s="42"/>
    </row>
    <row r="2" spans="2:5" ht="12.75">
      <c r="B2" s="7"/>
      <c r="C2" s="7"/>
      <c r="D2" s="7"/>
      <c r="E2" s="7"/>
    </row>
    <row r="3" spans="1:8" ht="12.75">
      <c r="A3" s="4" t="s">
        <v>27</v>
      </c>
      <c r="B3" s="9" t="s">
        <v>15</v>
      </c>
      <c r="C3" s="13" t="s">
        <v>18</v>
      </c>
      <c r="D3" s="13" t="s">
        <v>10</v>
      </c>
      <c r="E3" s="13" t="s">
        <v>33</v>
      </c>
      <c r="F3" s="13" t="s">
        <v>34</v>
      </c>
      <c r="G3" s="9" t="s">
        <v>35</v>
      </c>
      <c r="H3" s="13" t="s">
        <v>37</v>
      </c>
    </row>
    <row r="4" spans="1:8" ht="12.75">
      <c r="A4" s="8">
        <f>Intro!E3</f>
        <v>90</v>
      </c>
      <c r="B4" s="10">
        <v>1.955</v>
      </c>
      <c r="C4" s="18">
        <f>B4*Intro!$H$49+Intro!$H$51</f>
        <v>88.78745447068559</v>
      </c>
      <c r="D4" s="18">
        <f>ABS(A4-C4)</f>
        <v>1.2125455293144114</v>
      </c>
      <c r="E4" s="18">
        <f>90-C4</f>
        <v>1.2125455293144114</v>
      </c>
      <c r="F4" s="15">
        <f>$B$1*Intro!$L$13*Intro!$L$14*SIN(RADIANS(E4))</f>
        <v>0.014967431391592645</v>
      </c>
      <c r="G4" s="14">
        <v>0.01</v>
      </c>
      <c r="H4" s="15">
        <f>G4/F4</f>
        <v>0.6681173100694552</v>
      </c>
    </row>
    <row r="5" spans="1:8" ht="12.75">
      <c r="A5" s="8">
        <f>Intro!E4</f>
        <v>84.33070866141732</v>
      </c>
      <c r="B5" s="10">
        <v>1.92</v>
      </c>
      <c r="C5" s="18">
        <f>B5*Intro!$H$49+Intro!$H$51</f>
        <v>83.96768979371114</v>
      </c>
      <c r="D5" s="18">
        <f aca="true" t="shared" si="0" ref="D5:D40">ABS(A5-C5)</f>
        <v>0.36301886770617386</v>
      </c>
      <c r="E5" s="18">
        <f aca="true" t="shared" si="1" ref="E5:E40">90-C5</f>
        <v>6.032310206288855</v>
      </c>
      <c r="F5" s="15">
        <f>$B$1*Intro!$L$13*Intro!$L$14*SIN(RADIANS(E5))</f>
        <v>0.07432975063318291</v>
      </c>
      <c r="G5" s="14">
        <v>0.01</v>
      </c>
      <c r="H5" s="15">
        <f aca="true" t="shared" si="2" ref="H5:H40">G5/F5</f>
        <v>0.1345356322981624</v>
      </c>
    </row>
    <row r="6" spans="1:8" ht="12.75">
      <c r="A6" s="8">
        <f>Intro!E5</f>
        <v>78.66141732283465</v>
      </c>
      <c r="B6" s="10">
        <v>1.931</v>
      </c>
      <c r="C6" s="18">
        <f>B6*Intro!$H$49+Intro!$H$51</f>
        <v>85.48247297790311</v>
      </c>
      <c r="D6" s="18">
        <f t="shared" si="0"/>
        <v>6.821055655068463</v>
      </c>
      <c r="E6" s="18">
        <f t="shared" si="1"/>
        <v>4.5175270220968855</v>
      </c>
      <c r="F6" s="15">
        <f>$B$1*Intro!$L$13*Intro!$L$14*SIN(RADIANS(E6))</f>
        <v>0.05570989365964713</v>
      </c>
      <c r="G6" s="14">
        <v>0.27</v>
      </c>
      <c r="H6" s="15">
        <f t="shared" si="2"/>
        <v>4.846535907060466</v>
      </c>
    </row>
    <row r="7" spans="1:8" ht="12.75">
      <c r="A7" s="8">
        <f>Intro!E6</f>
        <v>74.40944881889763</v>
      </c>
      <c r="B7" s="10">
        <v>1.903</v>
      </c>
      <c r="C7" s="18">
        <f>B7*Intro!$H$49+Intro!$H$51</f>
        <v>81.62666123632351</v>
      </c>
      <c r="D7" s="18">
        <f t="shared" si="0"/>
        <v>7.217212417425884</v>
      </c>
      <c r="E7" s="18">
        <f t="shared" si="1"/>
        <v>8.373338763676486</v>
      </c>
      <c r="F7" s="15">
        <f>$B$1*Intro!$L$13*Intro!$L$14*SIN(RADIANS(E7))</f>
        <v>0.10299906596528774</v>
      </c>
      <c r="G7" s="14">
        <v>0.27</v>
      </c>
      <c r="H7" s="15">
        <f t="shared" si="2"/>
        <v>2.6213829947836045</v>
      </c>
    </row>
    <row r="8" spans="1:8" ht="12.75">
      <c r="A8" s="8">
        <f>Intro!E7</f>
        <v>68.74015748031496</v>
      </c>
      <c r="B8" s="10">
        <v>1.882</v>
      </c>
      <c r="C8" s="18">
        <f>B8*Intro!$H$49+Intro!$H$51</f>
        <v>78.73480243013881</v>
      </c>
      <c r="D8" s="18">
        <f t="shared" si="0"/>
        <v>9.99464494982385</v>
      </c>
      <c r="E8" s="18">
        <f t="shared" si="1"/>
        <v>11.265197569861186</v>
      </c>
      <c r="F8" s="15">
        <f>$B$1*Intro!$L$13*Intro!$L$14*SIN(RADIANS(E8))</f>
        <v>0.138171580039731</v>
      </c>
      <c r="G8" s="14">
        <v>0.35</v>
      </c>
      <c r="H8" s="15">
        <f t="shared" si="2"/>
        <v>2.5330824175228948</v>
      </c>
    </row>
    <row r="9" spans="1:8" ht="12.75">
      <c r="A9" s="8">
        <f>Intro!E8</f>
        <v>64.48818897637796</v>
      </c>
      <c r="B9" s="10">
        <v>1.878</v>
      </c>
      <c r="C9" s="18">
        <f>B9*Intro!$H$49+Intro!$H$51</f>
        <v>78.18397218134174</v>
      </c>
      <c r="D9" s="18">
        <f t="shared" si="0"/>
        <v>13.695783204963789</v>
      </c>
      <c r="E9" s="18">
        <f t="shared" si="1"/>
        <v>11.816027818658256</v>
      </c>
      <c r="F9" s="15">
        <f>$B$1*Intro!$L$13*Intro!$L$14*SIN(RADIANS(E9))</f>
        <v>0.1448339341360917</v>
      </c>
      <c r="G9" s="14">
        <v>0.51</v>
      </c>
      <c r="H9" s="15">
        <f t="shared" si="2"/>
        <v>3.521274230670168</v>
      </c>
    </row>
    <row r="10" spans="1:8" ht="12.75">
      <c r="A10" s="8">
        <f>Intro!E9</f>
        <v>58.818897637795274</v>
      </c>
      <c r="B10" s="10">
        <v>1.852</v>
      </c>
      <c r="C10" s="18">
        <f>B10*Intro!$H$49+Intro!$H$51</f>
        <v>74.60357556416074</v>
      </c>
      <c r="D10" s="18">
        <f t="shared" si="0"/>
        <v>15.784677926365461</v>
      </c>
      <c r="E10" s="18">
        <f t="shared" si="1"/>
        <v>15.396424435839265</v>
      </c>
      <c r="F10" s="15">
        <f>$B$1*Intro!$L$13*Intro!$L$14*SIN(RADIANS(E10))</f>
        <v>0.1877855525167299</v>
      </c>
      <c r="G10" s="14">
        <v>0.58</v>
      </c>
      <c r="H10" s="15">
        <f t="shared" si="2"/>
        <v>3.0886295150332583</v>
      </c>
    </row>
    <row r="11" spans="1:8" ht="12.75">
      <c r="A11" s="8">
        <f>Intro!E10</f>
        <v>54.56692913385827</v>
      </c>
      <c r="B11" s="10">
        <v>1.835</v>
      </c>
      <c r="C11" s="18">
        <f>B11*Intro!$H$49+Intro!$H$51</f>
        <v>72.26254700677313</v>
      </c>
      <c r="D11" s="18">
        <f t="shared" si="0"/>
        <v>17.695617872914866</v>
      </c>
      <c r="E11" s="18">
        <f t="shared" si="1"/>
        <v>17.737452993226867</v>
      </c>
      <c r="F11" s="15">
        <f>$B$1*Intro!$L$13*Intro!$L$14*SIN(RADIANS(E11))</f>
        <v>0.21548330235834834</v>
      </c>
      <c r="G11" s="14">
        <v>0.66</v>
      </c>
      <c r="H11" s="15">
        <f t="shared" si="2"/>
        <v>3.0628823336966557</v>
      </c>
    </row>
    <row r="12" spans="1:8" ht="12.75">
      <c r="A12" s="8">
        <f>Intro!E11</f>
        <v>48.89763779527559</v>
      </c>
      <c r="B12" s="10">
        <v>1.803</v>
      </c>
      <c r="C12" s="18">
        <f>B12*Intro!$H$49+Intro!$H$51</f>
        <v>67.85590501639646</v>
      </c>
      <c r="D12" s="18">
        <f t="shared" si="0"/>
        <v>18.95826722112087</v>
      </c>
      <c r="E12" s="18">
        <f t="shared" si="1"/>
        <v>22.144094983603537</v>
      </c>
      <c r="F12" s="15">
        <f>$B$1*Intro!$L$13*Intro!$L$14*SIN(RADIANS(E12))</f>
        <v>0.26660806595192477</v>
      </c>
      <c r="G12" s="14">
        <v>0.7</v>
      </c>
      <c r="H12" s="15">
        <f t="shared" si="2"/>
        <v>2.6255769775781097</v>
      </c>
    </row>
    <row r="13" spans="1:8" ht="12.75">
      <c r="A13" s="8">
        <f>Intro!E12</f>
        <v>44.645669291338585</v>
      </c>
      <c r="B13" s="10">
        <v>1.784</v>
      </c>
      <c r="C13" s="18">
        <f>B13*Intro!$H$49+Intro!$H$51</f>
        <v>65.23946133461035</v>
      </c>
      <c r="D13" s="18">
        <f t="shared" si="0"/>
        <v>20.59379204327177</v>
      </c>
      <c r="E13" s="18">
        <f t="shared" si="1"/>
        <v>24.760538665389646</v>
      </c>
      <c r="F13" s="15">
        <f>$B$1*Intro!$L$13*Intro!$L$14*SIN(RADIANS(E13))</f>
        <v>0.29623659270539127</v>
      </c>
      <c r="G13" s="14">
        <v>0.75</v>
      </c>
      <c r="H13" s="15">
        <f t="shared" si="2"/>
        <v>2.5317601487061347</v>
      </c>
    </row>
    <row r="14" spans="1:8" ht="12.75">
      <c r="A14" s="8">
        <f>Intro!E13</f>
        <v>38.976377952755904</v>
      </c>
      <c r="B14" s="10">
        <v>1.752</v>
      </c>
      <c r="C14" s="18">
        <f>B14*Intro!$H$49+Intro!$H$51</f>
        <v>60.832819344233684</v>
      </c>
      <c r="D14" s="18">
        <f t="shared" si="0"/>
        <v>21.85644139147778</v>
      </c>
      <c r="E14" s="18">
        <f t="shared" si="1"/>
        <v>29.167180655766316</v>
      </c>
      <c r="F14" s="15">
        <f>$B$1*Intro!$L$13*Intro!$L$14*SIN(RADIANS(E14))</f>
        <v>0.34470990730470996</v>
      </c>
      <c r="G14" s="14">
        <v>0.82</v>
      </c>
      <c r="H14" s="15">
        <f t="shared" si="2"/>
        <v>2.3788118142921615</v>
      </c>
    </row>
    <row r="15" spans="1:8" ht="12.75">
      <c r="A15" s="8">
        <f>Intro!E14</f>
        <v>34.724409448818896</v>
      </c>
      <c r="B15" s="10">
        <v>1.738</v>
      </c>
      <c r="C15" s="18">
        <f>B15*Intro!$H$49+Intro!$H$51</f>
        <v>58.90491347344391</v>
      </c>
      <c r="D15" s="18">
        <f t="shared" si="0"/>
        <v>24.180504024625016</v>
      </c>
      <c r="E15" s="18">
        <f t="shared" si="1"/>
        <v>31.095086526556088</v>
      </c>
      <c r="F15" s="15">
        <f>$B$1*Intro!$L$13*Intro!$L$14*SIN(RADIANS(E15))</f>
        <v>0.3652926013813585</v>
      </c>
      <c r="G15" s="14">
        <v>0.88</v>
      </c>
      <c r="H15" s="15">
        <f t="shared" si="2"/>
        <v>2.4090277127767417</v>
      </c>
    </row>
    <row r="16" spans="1:8" ht="12.75">
      <c r="A16" s="8">
        <f>Intro!E15</f>
        <v>29.055118110236222</v>
      </c>
      <c r="B16" s="10">
        <v>1.7</v>
      </c>
      <c r="C16" s="18">
        <f>B16*Intro!$H$49+Intro!$H$51</f>
        <v>53.67202610987161</v>
      </c>
      <c r="D16" s="18">
        <f t="shared" si="0"/>
        <v>24.616907999635387</v>
      </c>
      <c r="E16" s="18">
        <f t="shared" si="1"/>
        <v>36.32797389012839</v>
      </c>
      <c r="F16" s="15">
        <f>$B$1*Intro!$L$13*Intro!$L$14*SIN(RADIANS(E16))</f>
        <v>0.4190097747984892</v>
      </c>
      <c r="G16" s="14">
        <v>0.9</v>
      </c>
      <c r="H16" s="15">
        <f t="shared" si="2"/>
        <v>2.1479212517961646</v>
      </c>
    </row>
    <row r="17" spans="1:8" ht="12.75">
      <c r="A17" s="8">
        <f>Intro!E16</f>
        <v>24.803149606299215</v>
      </c>
      <c r="B17" s="10">
        <v>1.695</v>
      </c>
      <c r="C17" s="18">
        <f>B17*Intro!$H$49+Intro!$H$51</f>
        <v>52.98348829887527</v>
      </c>
      <c r="D17" s="18">
        <f t="shared" si="0"/>
        <v>28.180338692576058</v>
      </c>
      <c r="E17" s="18">
        <f t="shared" si="1"/>
        <v>37.01651170112473</v>
      </c>
      <c r="F17" s="15">
        <f>$B$1*Intro!$L$13*Intro!$L$14*SIN(RADIANS(E17))</f>
        <v>0.4258271378954636</v>
      </c>
      <c r="G17" s="14">
        <v>1</v>
      </c>
      <c r="H17" s="15">
        <f t="shared" si="2"/>
        <v>2.3483707612958433</v>
      </c>
    </row>
    <row r="18" spans="1:8" ht="12.75">
      <c r="A18" s="8">
        <f>Intro!E17</f>
        <v>19.133858267716533</v>
      </c>
      <c r="B18" s="10">
        <v>1.68</v>
      </c>
      <c r="C18" s="18">
        <f>B18*Intro!$H$49+Intro!$H$51</f>
        <v>50.917874865886205</v>
      </c>
      <c r="D18" s="18">
        <f t="shared" si="0"/>
        <v>31.78401659816967</v>
      </c>
      <c r="E18" s="18">
        <f t="shared" si="1"/>
        <v>39.082125134113795</v>
      </c>
      <c r="F18" s="15">
        <f>$B$1*Intro!$L$13*Intro!$L$14*SIN(RADIANS(E18))</f>
        <v>0.44590636484402313</v>
      </c>
      <c r="G18" s="14">
        <v>1.12</v>
      </c>
      <c r="H18" s="15">
        <f t="shared" si="2"/>
        <v>2.5117380874161173</v>
      </c>
    </row>
    <row r="19" spans="1:8" ht="12.75">
      <c r="A19" s="8">
        <f>Intro!E18</f>
        <v>14.881889763779526</v>
      </c>
      <c r="B19" s="10">
        <v>1.638</v>
      </c>
      <c r="C19" s="18">
        <f>B19*Intro!$H$49+Intro!$H$51</f>
        <v>45.13415725351683</v>
      </c>
      <c r="D19" s="18">
        <f t="shared" si="0"/>
        <v>30.252267489737307</v>
      </c>
      <c r="E19" s="18">
        <f t="shared" si="1"/>
        <v>44.86584274648317</v>
      </c>
      <c r="F19" s="15">
        <f>$B$1*Intro!$L$13*Intro!$L$14*SIN(RADIANS(E19))</f>
        <v>0.49896489903638</v>
      </c>
      <c r="G19" s="14">
        <v>1.08</v>
      </c>
      <c r="H19" s="15">
        <f t="shared" si="2"/>
        <v>2.164480912556649</v>
      </c>
    </row>
    <row r="20" spans="1:8" ht="12.75">
      <c r="A20" s="8">
        <f>Intro!E19</f>
        <v>9.212598425196845</v>
      </c>
      <c r="B20" s="10">
        <v>1.598</v>
      </c>
      <c r="C20" s="18">
        <f>B20*Intro!$H$49+Intro!$H$51</f>
        <v>39.62585476554605</v>
      </c>
      <c r="D20" s="18">
        <f t="shared" si="0"/>
        <v>30.413256340349207</v>
      </c>
      <c r="E20" s="18">
        <f t="shared" si="1"/>
        <v>50.37414523445395</v>
      </c>
      <c r="F20" s="15">
        <f>$B$1*Intro!$L$13*Intro!$L$14*SIN(RADIANS(E20))</f>
        <v>0.5447812849494637</v>
      </c>
      <c r="G20" s="14">
        <v>1.1</v>
      </c>
      <c r="H20" s="15">
        <f t="shared" si="2"/>
        <v>2.019158936603413</v>
      </c>
    </row>
    <row r="21" spans="1:8" ht="12.75">
      <c r="A21" s="8">
        <f>Intro!E20</f>
        <v>4.960629921259837</v>
      </c>
      <c r="B21" s="10">
        <v>1.594</v>
      </c>
      <c r="C21" s="18">
        <f>B21*Intro!$H$49+Intro!$H$51</f>
        <v>39.07502451674898</v>
      </c>
      <c r="D21" s="18">
        <f t="shared" si="0"/>
        <v>34.114394595489145</v>
      </c>
      <c r="E21" s="18">
        <f t="shared" si="1"/>
        <v>50.92497548325102</v>
      </c>
      <c r="F21" s="15">
        <f>$B$1*Intro!$L$13*Intro!$L$14*SIN(RADIANS(E21))</f>
        <v>0.5490927948176313</v>
      </c>
      <c r="G21" s="14">
        <v>1.23</v>
      </c>
      <c r="H21" s="15">
        <f t="shared" si="2"/>
        <v>2.2400585321985815</v>
      </c>
    </row>
    <row r="22" spans="1:8" ht="12.75">
      <c r="A22" s="8">
        <f>Intro!E21</f>
        <v>-0.7086614173228298</v>
      </c>
      <c r="B22" s="10">
        <v>1.528</v>
      </c>
      <c r="C22" s="18">
        <f>B22*Intro!$H$49+Intro!$H$51</f>
        <v>29.986325411597107</v>
      </c>
      <c r="D22" s="18">
        <f t="shared" si="0"/>
        <v>30.694986828919937</v>
      </c>
      <c r="E22" s="18">
        <f t="shared" si="1"/>
        <v>60.01367458840289</v>
      </c>
      <c r="F22" s="15">
        <f>$B$1*Intro!$L$13*Intro!$L$14*SIN(RADIANS(E22))</f>
        <v>0.6126250212350576</v>
      </c>
      <c r="G22" s="14">
        <v>1.1</v>
      </c>
      <c r="H22" s="15">
        <f t="shared" si="2"/>
        <v>1.795551865939772</v>
      </c>
    </row>
    <row r="23" spans="1:8" ht="12.75">
      <c r="A23" s="8">
        <f>Intro!E22</f>
        <v>-6.377952755905511</v>
      </c>
      <c r="B23" s="10">
        <v>1.469</v>
      </c>
      <c r="C23" s="18">
        <f>B23*Intro!$H$49+Intro!$H$51</f>
        <v>21.86157924184016</v>
      </c>
      <c r="D23" s="18">
        <f t="shared" si="0"/>
        <v>28.239531997745672</v>
      </c>
      <c r="E23" s="18">
        <f t="shared" si="1"/>
        <v>68.13842075815984</v>
      </c>
      <c r="F23" s="15">
        <f>$B$1*Intro!$L$13*Intro!$L$14*SIN(RADIANS(E23))</f>
        <v>0.656436268500821</v>
      </c>
      <c r="G23" s="14">
        <v>1.02</v>
      </c>
      <c r="H23" s="15">
        <f t="shared" si="2"/>
        <v>1.5538446745629872</v>
      </c>
    </row>
    <row r="24" spans="1:8" ht="12.75">
      <c r="A24" s="8">
        <f>Intro!E23</f>
        <v>-10.629921259842519</v>
      </c>
      <c r="B24" s="10">
        <v>1.445</v>
      </c>
      <c r="C24" s="18">
        <f>B24*Intro!$H$49+Intro!$H$51</f>
        <v>18.55659774905766</v>
      </c>
      <c r="D24" s="18">
        <f t="shared" si="0"/>
        <v>29.186519008900177</v>
      </c>
      <c r="E24" s="18">
        <f t="shared" si="1"/>
        <v>71.44340225094234</v>
      </c>
      <c r="F24" s="15">
        <f>$B$1*Intro!$L$13*Intro!$L$14*SIN(RADIANS(E24))</f>
        <v>0.6705282467468019</v>
      </c>
      <c r="G24" s="14">
        <v>1.05</v>
      </c>
      <c r="H24" s="15">
        <f t="shared" si="2"/>
        <v>1.5659295564270097</v>
      </c>
    </row>
    <row r="25" spans="1:8" ht="12.75">
      <c r="A25" s="8">
        <f>Intro!E24</f>
        <v>-16.2992125984252</v>
      </c>
      <c r="B25" s="10">
        <v>1.418</v>
      </c>
      <c r="C25" s="18">
        <f>B25*Intro!$H$49+Intro!$H$51</f>
        <v>14.838493569677354</v>
      </c>
      <c r="D25" s="18">
        <f t="shared" si="0"/>
        <v>31.137706168102554</v>
      </c>
      <c r="E25" s="18">
        <f t="shared" si="1"/>
        <v>75.16150643032265</v>
      </c>
      <c r="F25" s="15">
        <f>$B$1*Intro!$L$13*Intro!$L$14*SIN(RADIANS(E25))</f>
        <v>0.6837136092837185</v>
      </c>
      <c r="G25" s="14">
        <v>1.12</v>
      </c>
      <c r="H25" s="15">
        <f t="shared" si="2"/>
        <v>1.6381127782045322</v>
      </c>
    </row>
    <row r="26" spans="1:8" ht="12.75">
      <c r="A26" s="8">
        <f>Intro!E25</f>
        <v>-20.551181102362207</v>
      </c>
      <c r="B26" s="10">
        <v>1.384</v>
      </c>
      <c r="C26" s="18">
        <f>B26*Intro!$H$49+Intro!$H$51</f>
        <v>10.156436454902149</v>
      </c>
      <c r="D26" s="18">
        <f t="shared" si="0"/>
        <v>30.707617557264356</v>
      </c>
      <c r="E26" s="18">
        <f t="shared" si="1"/>
        <v>79.84356354509785</v>
      </c>
      <c r="F26" s="15">
        <f>$B$1*Intro!$L$13*Intro!$L$14*SIN(RADIANS(E26))</f>
        <v>0.6962175691668011</v>
      </c>
      <c r="G26" s="14">
        <v>1.11</v>
      </c>
      <c r="H26" s="15">
        <f t="shared" si="2"/>
        <v>1.5943291998913407</v>
      </c>
    </row>
    <row r="27" spans="1:8" ht="12.75">
      <c r="A27" s="8">
        <f>Intro!E26</f>
        <v>-26.22047244094489</v>
      </c>
      <c r="B27" s="10">
        <v>1.325</v>
      </c>
      <c r="C27" s="18">
        <f>B27*Intro!$H$49+Intro!$H$51</f>
        <v>2.031690285145203</v>
      </c>
      <c r="D27" s="18">
        <f t="shared" si="0"/>
        <v>28.25216272609009</v>
      </c>
      <c r="E27" s="18">
        <f t="shared" si="1"/>
        <v>87.9683097148548</v>
      </c>
      <c r="F27" s="15">
        <f>$B$1*Intro!$L$13*Intro!$L$14*SIN(RADIANS(E27))</f>
        <v>0.7068563702553158</v>
      </c>
      <c r="G27" s="14">
        <v>1.04</v>
      </c>
      <c r="H27" s="15">
        <f t="shared" si="2"/>
        <v>1.4713031441229754</v>
      </c>
    </row>
    <row r="28" spans="1:8" ht="12.75">
      <c r="A28" s="8">
        <f>Intro!E27</f>
        <v>-30.472440944881896</v>
      </c>
      <c r="B28" s="10">
        <v>1.284</v>
      </c>
      <c r="C28" s="18">
        <f>B28*Intro!$H$49+Intro!$H$51</f>
        <v>-3.6143197650248737</v>
      </c>
      <c r="D28" s="18">
        <f t="shared" si="0"/>
        <v>26.858121179857022</v>
      </c>
      <c r="E28" s="18">
        <f t="shared" si="1"/>
        <v>93.61431976502487</v>
      </c>
      <c r="F28" s="15">
        <f>$B$1*Intro!$L$13*Intro!$L$14*SIN(RADIANS(E28))</f>
        <v>0.7058941812881175</v>
      </c>
      <c r="G28" s="14">
        <v>0.98</v>
      </c>
      <c r="H28" s="15">
        <f t="shared" si="2"/>
        <v>1.3883100696646817</v>
      </c>
    </row>
    <row r="29" spans="1:8" ht="12.75">
      <c r="A29" s="8">
        <f>Intro!E28</f>
        <v>-36.14173228346456</v>
      </c>
      <c r="B29" s="10">
        <v>1.229</v>
      </c>
      <c r="C29" s="18">
        <f>B29*Intro!$H$49+Intro!$H$51</f>
        <v>-11.18823568598475</v>
      </c>
      <c r="D29" s="18">
        <f t="shared" si="0"/>
        <v>24.953496597479813</v>
      </c>
      <c r="E29" s="18">
        <f t="shared" si="1"/>
        <v>101.18823568598475</v>
      </c>
      <c r="F29" s="15">
        <f>$B$1*Intro!$L$13*Intro!$L$14*SIN(RADIANS(E29))</f>
        <v>0.6938587558373207</v>
      </c>
      <c r="G29" s="14">
        <v>0.92</v>
      </c>
      <c r="H29" s="15">
        <f t="shared" si="2"/>
        <v>1.3259182683221764</v>
      </c>
    </row>
    <row r="30" spans="1:8" ht="12.75">
      <c r="A30" s="8">
        <f>Intro!E29</f>
        <v>-40.39370078740157</v>
      </c>
      <c r="B30" s="10">
        <v>1.182</v>
      </c>
      <c r="C30" s="18">
        <f>B30*Intro!$H$49+Intro!$H$51</f>
        <v>-17.660491109350488</v>
      </c>
      <c r="D30" s="18">
        <f t="shared" si="0"/>
        <v>22.733209678051082</v>
      </c>
      <c r="E30" s="18">
        <f t="shared" si="1"/>
        <v>107.66049110935049</v>
      </c>
      <c r="F30" s="15">
        <f>$B$1*Intro!$L$13*Intro!$L$14*SIN(RADIANS(E30))</f>
        <v>0.6739665431647148</v>
      </c>
      <c r="G30" s="14">
        <v>0.84</v>
      </c>
      <c r="H30" s="15">
        <f t="shared" si="2"/>
        <v>1.2463526691631446</v>
      </c>
    </row>
    <row r="31" spans="1:8" ht="12.75">
      <c r="A31" s="8">
        <f>Intro!E30</f>
        <v>-46.062992125984266</v>
      </c>
      <c r="B31" s="10">
        <v>1.134</v>
      </c>
      <c r="C31" s="18">
        <f>B31*Intro!$H$49+Intro!$H$51</f>
        <v>-24.270454094915465</v>
      </c>
      <c r="D31" s="18">
        <f t="shared" si="0"/>
        <v>21.7925380310688</v>
      </c>
      <c r="E31" s="18">
        <f t="shared" si="1"/>
        <v>114.27045409491546</v>
      </c>
      <c r="F31" s="15">
        <f>$B$1*Intro!$L$13*Intro!$L$14*SIN(RADIANS(E31))</f>
        <v>0.6447864574575679</v>
      </c>
      <c r="G31" s="14">
        <v>0.82</v>
      </c>
      <c r="H31" s="15">
        <f t="shared" si="2"/>
        <v>1.2717388687617752</v>
      </c>
    </row>
    <row r="32" spans="1:8" ht="12.75">
      <c r="A32" s="8">
        <f>Intro!E31</f>
        <v>-50.31496062992127</v>
      </c>
      <c r="B32" s="10">
        <v>1.083</v>
      </c>
      <c r="C32" s="18">
        <f>B32*Intro!$H$49+Intro!$H$51</f>
        <v>-31.293539767078244</v>
      </c>
      <c r="D32" s="18">
        <f t="shared" si="0"/>
        <v>19.02142086284303</v>
      </c>
      <c r="E32" s="18">
        <f t="shared" si="1"/>
        <v>121.29353976707824</v>
      </c>
      <c r="F32" s="15">
        <f>$B$1*Intro!$L$13*Intro!$L$14*SIN(RADIANS(E32))</f>
        <v>0.6044010127356975</v>
      </c>
      <c r="G32" s="14">
        <v>0.73</v>
      </c>
      <c r="H32" s="15">
        <f t="shared" si="2"/>
        <v>1.2078073739416888</v>
      </c>
    </row>
    <row r="33" spans="1:8" ht="12.75">
      <c r="A33" s="8">
        <f>Intro!E32</f>
        <v>-55.98425196850394</v>
      </c>
      <c r="B33" s="10">
        <v>1.043</v>
      </c>
      <c r="C33" s="18">
        <f>B33*Intro!$H$49+Intro!$H$51</f>
        <v>-36.80184225504908</v>
      </c>
      <c r="D33" s="18">
        <f t="shared" si="0"/>
        <v>19.18240971345486</v>
      </c>
      <c r="E33" s="18">
        <f t="shared" si="1"/>
        <v>126.80184225504908</v>
      </c>
      <c r="F33" s="15">
        <f>$B$1*Intro!$L$13*Intro!$L$14*SIN(RADIANS(E33))</f>
        <v>0.5663444760300249</v>
      </c>
      <c r="G33" s="14">
        <v>0.7</v>
      </c>
      <c r="H33" s="15">
        <f t="shared" si="2"/>
        <v>1.2359968705034023</v>
      </c>
    </row>
    <row r="34" spans="1:8" ht="12.75">
      <c r="A34" s="8">
        <f>Intro!E33</f>
        <v>-60.23622047244095</v>
      </c>
      <c r="B34" s="10">
        <v>0.973</v>
      </c>
      <c r="C34" s="18">
        <f>B34*Intro!$H$49+Intro!$H$51</f>
        <v>-46.441371608998</v>
      </c>
      <c r="D34" s="18">
        <f t="shared" si="0"/>
        <v>13.794848863442951</v>
      </c>
      <c r="E34" s="18">
        <f t="shared" si="1"/>
        <v>136.441371608998</v>
      </c>
      <c r="F34" s="15">
        <f>$B$1*Intro!$L$13*Intro!$L$14*SIN(RADIANS(E34))</f>
        <v>0.487398615715032</v>
      </c>
      <c r="G34" s="14">
        <v>0.54</v>
      </c>
      <c r="H34" s="15">
        <f t="shared" si="2"/>
        <v>1.1079227199030917</v>
      </c>
    </row>
    <row r="35" spans="1:8" ht="12.75">
      <c r="A35" s="8">
        <f>Intro!E34</f>
        <v>-65.90551181102362</v>
      </c>
      <c r="B35" s="10">
        <v>0.903</v>
      </c>
      <c r="C35" s="18">
        <f>B35*Intro!$H$49+Intro!$H$51</f>
        <v>-56.08090096294693</v>
      </c>
      <c r="D35" s="18">
        <f t="shared" si="0"/>
        <v>9.824610848076688</v>
      </c>
      <c r="E35" s="18">
        <f t="shared" si="1"/>
        <v>146.08090096294694</v>
      </c>
      <c r="F35" s="15">
        <f>$B$1*Intro!$L$13*Intro!$L$14*SIN(RADIANS(E35))</f>
        <v>0.3946893454600451</v>
      </c>
      <c r="G35" s="14">
        <v>0.41</v>
      </c>
      <c r="H35" s="15">
        <f t="shared" si="2"/>
        <v>1.0387916591011823</v>
      </c>
    </row>
    <row r="36" spans="1:8" ht="12.75">
      <c r="A36" s="8">
        <f>Intro!E35</f>
        <v>-70.15748031496062</v>
      </c>
      <c r="B36" s="10">
        <v>0.878</v>
      </c>
      <c r="C36" s="18">
        <f>B36*Intro!$H$49+Intro!$H$51</f>
        <v>-59.52359001792868</v>
      </c>
      <c r="D36" s="18">
        <f t="shared" si="0"/>
        <v>10.63389029703194</v>
      </c>
      <c r="E36" s="18">
        <f t="shared" si="1"/>
        <v>149.52359001792868</v>
      </c>
      <c r="F36" s="15">
        <f>$B$1*Intro!$L$13*Intro!$L$14*SIN(RADIANS(E36))</f>
        <v>0.3587314441179604</v>
      </c>
      <c r="G36" s="14">
        <v>0.42</v>
      </c>
      <c r="H36" s="15">
        <f t="shared" si="2"/>
        <v>1.1707922650401756</v>
      </c>
    </row>
    <row r="37" spans="1:8" ht="12.75">
      <c r="A37" s="8">
        <f>Intro!E36</f>
        <v>-75.82677165354332</v>
      </c>
      <c r="B37" s="10">
        <v>0.81</v>
      </c>
      <c r="C37" s="18">
        <f>B37*Intro!$H$49+Intro!$H$51</f>
        <v>-68.88770424747908</v>
      </c>
      <c r="D37" s="18">
        <f t="shared" si="0"/>
        <v>6.93906740606424</v>
      </c>
      <c r="E37" s="18">
        <f t="shared" si="1"/>
        <v>158.88770424747906</v>
      </c>
      <c r="F37" s="15">
        <f>$B$1*Intro!$L$13*Intro!$L$14*SIN(RADIANS(E37))</f>
        <v>0.2547677074434178</v>
      </c>
      <c r="G37" s="14">
        <v>0.28</v>
      </c>
      <c r="H37" s="15">
        <f t="shared" si="2"/>
        <v>1.0990403878489432</v>
      </c>
    </row>
    <row r="38" spans="1:8" ht="12.75">
      <c r="A38" s="8">
        <f>Intro!E37</f>
        <v>-80.07874015748033</v>
      </c>
      <c r="B38" s="10">
        <v>0.72</v>
      </c>
      <c r="C38" s="18">
        <f>B38*Intro!$H$49+Intro!$H$51</f>
        <v>-81.28138484541343</v>
      </c>
      <c r="D38" s="18">
        <f t="shared" si="0"/>
        <v>1.2026446879331019</v>
      </c>
      <c r="E38" s="18">
        <f t="shared" si="1"/>
        <v>171.2813848454134</v>
      </c>
      <c r="F38" s="15">
        <f>$B$1*Intro!$L$13*Intro!$L$14*SIN(RADIANS(E38))</f>
        <v>0.10721407875742482</v>
      </c>
      <c r="G38" s="14">
        <v>0.01</v>
      </c>
      <c r="H38" s="15">
        <f t="shared" si="2"/>
        <v>0.09327133260758888</v>
      </c>
    </row>
    <row r="39" spans="1:8" ht="12.75">
      <c r="A39" s="8">
        <f>Intro!E38</f>
        <v>-85.74803149606299</v>
      </c>
      <c r="B39" s="10">
        <v>0.679</v>
      </c>
      <c r="C39" s="18">
        <f>B39*Intro!$H$49+Intro!$H$51</f>
        <v>-86.9273948955835</v>
      </c>
      <c r="D39" s="18">
        <f t="shared" si="0"/>
        <v>1.1793633995205113</v>
      </c>
      <c r="E39" s="18">
        <f t="shared" si="1"/>
        <v>176.92739489558352</v>
      </c>
      <c r="F39" s="15">
        <f>$B$1*Intro!$L$13*Intro!$L$14*SIN(RADIANS(E39))</f>
        <v>0.037912306392652424</v>
      </c>
      <c r="G39" s="14">
        <v>0.01</v>
      </c>
      <c r="H39" s="15">
        <f t="shared" si="2"/>
        <v>0.26376659590243356</v>
      </c>
    </row>
    <row r="40" spans="1:8" ht="12.75">
      <c r="A40" s="8">
        <f>Intro!E39</f>
        <v>-90</v>
      </c>
      <c r="B40" s="10">
        <v>0.648</v>
      </c>
      <c r="C40" s="18">
        <f>B40*Intro!$H$49+Intro!$H$51</f>
        <v>-91.19632932376089</v>
      </c>
      <c r="D40" s="18">
        <f t="shared" si="0"/>
        <v>1.1963293237608923</v>
      </c>
      <c r="E40" s="18">
        <f t="shared" si="1"/>
        <v>181.1963293237609</v>
      </c>
      <c r="F40" s="15">
        <f>$B$1*Intro!$L$13*Intro!$L$14*SIN(RADIANS(E40))</f>
        <v>-0.014767290921865583</v>
      </c>
      <c r="G40" s="14">
        <v>0.01</v>
      </c>
      <c r="H40" s="15">
        <f t="shared" si="2"/>
        <v>-0.6771722757349646</v>
      </c>
    </row>
    <row r="42" spans="4:5" ht="12.75">
      <c r="D42" s="1" t="s">
        <v>28</v>
      </c>
      <c r="E42" s="6"/>
    </row>
    <row r="43" spans="4:5" ht="12.75">
      <c r="D43" s="19">
        <f>MAX(D4:D40)</f>
        <v>34.114394595489145</v>
      </c>
      <c r="E43" s="21"/>
    </row>
  </sheetData>
  <mergeCells count="1">
    <mergeCell ref="D1:F1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1" sqref="D1:F1"/>
    </sheetView>
  </sheetViews>
  <sheetFormatPr defaultColWidth="9.140625" defaultRowHeight="12.75"/>
  <cols>
    <col min="1" max="1" width="12.7109375" style="0" bestFit="1" customWidth="1"/>
    <col min="4" max="4" width="13.7109375" style="0" bestFit="1" customWidth="1"/>
    <col min="5" max="5" width="17.57421875" style="0" bestFit="1" customWidth="1"/>
    <col min="6" max="6" width="9.00390625" style="0" bestFit="1" customWidth="1"/>
  </cols>
  <sheetData>
    <row r="1" spans="1:6" ht="12.75">
      <c r="A1" s="20" t="s">
        <v>43</v>
      </c>
      <c r="B1" s="24">
        <f>Intro!L21+Intro!L23</f>
        <v>0.981</v>
      </c>
      <c r="D1" s="42" t="s">
        <v>53</v>
      </c>
      <c r="E1" s="42"/>
      <c r="F1" s="42"/>
    </row>
    <row r="2" spans="2:5" ht="12.75">
      <c r="B2" s="7"/>
      <c r="C2" s="7"/>
      <c r="D2" s="7"/>
      <c r="E2" s="7"/>
    </row>
    <row r="3" spans="1:8" ht="12.75">
      <c r="A3" s="4" t="s">
        <v>27</v>
      </c>
      <c r="B3" s="9" t="s">
        <v>15</v>
      </c>
      <c r="C3" s="13" t="s">
        <v>18</v>
      </c>
      <c r="D3" s="13" t="s">
        <v>10</v>
      </c>
      <c r="E3" s="13" t="s">
        <v>33</v>
      </c>
      <c r="F3" s="13" t="s">
        <v>34</v>
      </c>
      <c r="G3" s="9" t="s">
        <v>35</v>
      </c>
      <c r="H3" s="13" t="s">
        <v>37</v>
      </c>
    </row>
    <row r="4" spans="1:8" ht="12.75">
      <c r="A4" s="8">
        <f>Intro!E3</f>
        <v>90</v>
      </c>
      <c r="B4" s="10">
        <v>1.96</v>
      </c>
      <c r="C4" s="18">
        <f>B4*Intro!$H$49+Intro!$H$51</f>
        <v>89.47599228168195</v>
      </c>
      <c r="D4" s="18">
        <f>ABS(A4-C4)</f>
        <v>0.524007718318046</v>
      </c>
      <c r="E4" s="18">
        <f>90-C4</f>
        <v>0.524007718318046</v>
      </c>
      <c r="F4" s="15">
        <f>$B$1*Intro!$L$13*Intro!$L$14*SIN(RADIANS(E4))</f>
        <v>0.008801303798215292</v>
      </c>
      <c r="G4" s="14">
        <v>0.01</v>
      </c>
      <c r="H4" s="15">
        <f>G4/F4</f>
        <v>1.1361952989314807</v>
      </c>
    </row>
    <row r="5" spans="1:8" ht="12.75">
      <c r="A5" s="8">
        <f>Intro!E4</f>
        <v>84.33070866141732</v>
      </c>
      <c r="B5" s="10">
        <v>1.922</v>
      </c>
      <c r="C5" s="18">
        <f>B5*Intro!$H$49+Intro!$H$51</f>
        <v>84.24310491810968</v>
      </c>
      <c r="D5" s="18">
        <f aca="true" t="shared" si="0" ref="D5:D40">ABS(A5-C5)</f>
        <v>0.08760374330763909</v>
      </c>
      <c r="E5" s="18">
        <f aca="true" t="shared" si="1" ref="E5:E40">90-C5</f>
        <v>5.75689508189032</v>
      </c>
      <c r="F5" s="15">
        <f>$B$1*Intro!$L$13*Intro!$L$14*SIN(RADIANS(E5))</f>
        <v>0.09653231208809158</v>
      </c>
      <c r="G5" s="14">
        <v>0.01</v>
      </c>
      <c r="H5" s="15">
        <f aca="true" t="shared" si="2" ref="H5:H40">G5/F5</f>
        <v>0.10359225614397792</v>
      </c>
    </row>
    <row r="6" spans="1:8" ht="12.75">
      <c r="A6" s="8">
        <f>Intro!E5</f>
        <v>78.66141732283465</v>
      </c>
      <c r="B6" s="10">
        <v>1.924</v>
      </c>
      <c r="C6" s="18">
        <f>B6*Intro!$H$49+Intro!$H$51</f>
        <v>84.51852004250821</v>
      </c>
      <c r="D6" s="18">
        <f t="shared" si="0"/>
        <v>5.857102719673563</v>
      </c>
      <c r="E6" s="18">
        <f t="shared" si="1"/>
        <v>5.481479957491786</v>
      </c>
      <c r="F6" s="15">
        <f>$B$1*Intro!$L$13*Intro!$L$14*SIN(RADIANS(E6))</f>
        <v>0.09192857207982802</v>
      </c>
      <c r="G6" s="14">
        <v>0.3</v>
      </c>
      <c r="H6" s="15">
        <f t="shared" si="2"/>
        <v>3.2634032402840867</v>
      </c>
    </row>
    <row r="7" spans="1:8" ht="12.75">
      <c r="A7" s="8">
        <f>Intro!E6</f>
        <v>74.40944881889763</v>
      </c>
      <c r="B7" s="10">
        <v>1.915</v>
      </c>
      <c r="C7" s="18">
        <f>B7*Intro!$H$49+Intro!$H$51</f>
        <v>83.27915198271478</v>
      </c>
      <c r="D7" s="18">
        <f t="shared" si="0"/>
        <v>8.86970316381715</v>
      </c>
      <c r="E7" s="18">
        <f t="shared" si="1"/>
        <v>6.7208480172852205</v>
      </c>
      <c r="F7" s="15">
        <f>$B$1*Intro!$L$13*Intro!$L$14*SIN(RADIANS(E7))</f>
        <v>0.11262713931614754</v>
      </c>
      <c r="G7" s="14">
        <v>0.42</v>
      </c>
      <c r="H7" s="15">
        <f t="shared" si="2"/>
        <v>3.7291189543671903</v>
      </c>
    </row>
    <row r="8" spans="1:8" ht="12.75">
      <c r="A8" s="8">
        <f>Intro!E7</f>
        <v>68.74015748031496</v>
      </c>
      <c r="B8" s="10">
        <v>1.888</v>
      </c>
      <c r="C8" s="18">
        <f>B8*Intro!$H$49+Intro!$H$51</f>
        <v>79.56104780333447</v>
      </c>
      <c r="D8" s="18">
        <f t="shared" si="0"/>
        <v>10.820890323019512</v>
      </c>
      <c r="E8" s="18">
        <f t="shared" si="1"/>
        <v>10.438952196665525</v>
      </c>
      <c r="F8" s="15">
        <f>$B$1*Intro!$L$13*Intro!$L$14*SIN(RADIANS(E8))</f>
        <v>0.17436805192301927</v>
      </c>
      <c r="G8" s="14">
        <v>0.47</v>
      </c>
      <c r="H8" s="15">
        <f t="shared" si="2"/>
        <v>2.695447903538531</v>
      </c>
    </row>
    <row r="9" spans="1:8" ht="12.75">
      <c r="A9" s="8">
        <f>Intro!E8</f>
        <v>64.48818897637796</v>
      </c>
      <c r="B9" s="10">
        <v>1.864</v>
      </c>
      <c r="C9" s="18">
        <f>B9*Intro!$H$49+Intro!$H$51</f>
        <v>76.256066310552</v>
      </c>
      <c r="D9" s="18">
        <f t="shared" si="0"/>
        <v>11.767877334174045</v>
      </c>
      <c r="E9" s="18">
        <f t="shared" si="1"/>
        <v>13.743933689448</v>
      </c>
      <c r="F9" s="15">
        <f>$B$1*Intro!$L$13*Intro!$L$14*SIN(RADIANS(E9))</f>
        <v>0.22864065977170295</v>
      </c>
      <c r="G9" s="14">
        <v>0.6</v>
      </c>
      <c r="H9" s="15">
        <f t="shared" si="2"/>
        <v>2.624205163679541</v>
      </c>
    </row>
    <row r="10" spans="1:8" ht="12.75">
      <c r="A10" s="8">
        <f>Intro!E9</f>
        <v>58.818897637795274</v>
      </c>
      <c r="B10" s="10">
        <v>1.844</v>
      </c>
      <c r="C10" s="18">
        <f>B10*Intro!$H$49+Intro!$H$51</f>
        <v>73.5019150665666</v>
      </c>
      <c r="D10" s="18">
        <f t="shared" si="0"/>
        <v>14.683017428771322</v>
      </c>
      <c r="E10" s="18">
        <f t="shared" si="1"/>
        <v>16.498084933433404</v>
      </c>
      <c r="F10" s="15">
        <f>$B$1*Intro!$L$13*Intro!$L$14*SIN(RADIANS(E10))</f>
        <v>0.27329444944017756</v>
      </c>
      <c r="G10" s="14">
        <v>0.72</v>
      </c>
      <c r="H10" s="15">
        <f t="shared" si="2"/>
        <v>2.6345211235532373</v>
      </c>
    </row>
    <row r="11" spans="1:8" ht="12.75">
      <c r="A11" s="8">
        <f>Intro!E10</f>
        <v>54.56692913385827</v>
      </c>
      <c r="B11" s="10">
        <v>1.828</v>
      </c>
      <c r="C11" s="18">
        <f>B11*Intro!$H$49+Intro!$H$51</f>
        <v>71.29859407137826</v>
      </c>
      <c r="D11" s="18">
        <f t="shared" si="0"/>
        <v>16.731664937519994</v>
      </c>
      <c r="E11" s="18">
        <f t="shared" si="1"/>
        <v>18.70140592862174</v>
      </c>
      <c r="F11" s="15">
        <f>$B$1*Intro!$L$13*Intro!$L$14*SIN(RADIANS(E11))</f>
        <v>0.3085678060320924</v>
      </c>
      <c r="G11" s="14">
        <v>0.76</v>
      </c>
      <c r="H11" s="15">
        <f t="shared" si="2"/>
        <v>2.4629918777753397</v>
      </c>
    </row>
    <row r="12" spans="1:8" ht="12.75">
      <c r="A12" s="8">
        <f>Intro!E11</f>
        <v>48.89763779527559</v>
      </c>
      <c r="B12" s="10">
        <v>1.792</v>
      </c>
      <c r="C12" s="18">
        <f>B12*Intro!$H$49+Intro!$H$51</f>
        <v>66.34112183220452</v>
      </c>
      <c r="D12" s="18">
        <f t="shared" si="0"/>
        <v>17.44348403692893</v>
      </c>
      <c r="E12" s="18">
        <f t="shared" si="1"/>
        <v>23.65887816779548</v>
      </c>
      <c r="F12" s="15">
        <f>$B$1*Intro!$L$13*Intro!$L$14*SIN(RADIANS(E12))</f>
        <v>0.3861863189192401</v>
      </c>
      <c r="G12" s="14">
        <v>0.85</v>
      </c>
      <c r="H12" s="15">
        <f t="shared" si="2"/>
        <v>2.2010101299775804</v>
      </c>
    </row>
    <row r="13" spans="1:8" ht="12.75">
      <c r="A13" s="8">
        <f>Intro!E12</f>
        <v>44.645669291338585</v>
      </c>
      <c r="B13" s="10">
        <v>1.776</v>
      </c>
      <c r="C13" s="18">
        <f>B13*Intro!$H$49+Intro!$H$51</f>
        <v>64.13780083701619</v>
      </c>
      <c r="D13" s="18">
        <f t="shared" si="0"/>
        <v>19.4921315456776</v>
      </c>
      <c r="E13" s="18">
        <f t="shared" si="1"/>
        <v>25.862199162983813</v>
      </c>
      <c r="F13" s="15">
        <f>$B$1*Intro!$L$13*Intro!$L$14*SIN(RADIANS(E13))</f>
        <v>0.41978977009153906</v>
      </c>
      <c r="G13" s="14">
        <v>0.95</v>
      </c>
      <c r="H13" s="15">
        <f t="shared" si="2"/>
        <v>2.2630375194537105</v>
      </c>
    </row>
    <row r="14" spans="1:8" ht="12.75">
      <c r="A14" s="8">
        <f>Intro!E13</f>
        <v>38.976377952755904</v>
      </c>
      <c r="B14" s="10">
        <v>1.754</v>
      </c>
      <c r="C14" s="18">
        <f>B14*Intro!$H$49+Intro!$H$51</f>
        <v>61.10823446863222</v>
      </c>
      <c r="D14" s="18">
        <f t="shared" si="0"/>
        <v>22.131856515876315</v>
      </c>
      <c r="E14" s="18">
        <f t="shared" si="1"/>
        <v>28.89176553136778</v>
      </c>
      <c r="F14" s="15">
        <f>$B$1*Intro!$L$13*Intro!$L$14*SIN(RADIANS(E14))</f>
        <v>0.4649710280604353</v>
      </c>
      <c r="G14" s="14">
        <v>1.06</v>
      </c>
      <c r="H14" s="15">
        <f t="shared" si="2"/>
        <v>2.279711930486613</v>
      </c>
    </row>
    <row r="15" spans="1:8" ht="12.75">
      <c r="A15" s="8">
        <f>Intro!E14</f>
        <v>34.724409448818896</v>
      </c>
      <c r="B15" s="10">
        <v>1.722</v>
      </c>
      <c r="C15" s="18">
        <f>B15*Intro!$H$49+Intro!$H$51</f>
        <v>56.70159247825558</v>
      </c>
      <c r="D15" s="18">
        <f t="shared" si="0"/>
        <v>21.97718302943668</v>
      </c>
      <c r="E15" s="18">
        <f t="shared" si="1"/>
        <v>33.29840752174442</v>
      </c>
      <c r="F15" s="15">
        <f>$B$1*Intro!$L$13*Intro!$L$14*SIN(RADIANS(E15))</f>
        <v>0.5283357918967563</v>
      </c>
      <c r="G15" s="14">
        <v>1.04</v>
      </c>
      <c r="H15" s="15">
        <f t="shared" si="2"/>
        <v>1.968445098648985</v>
      </c>
    </row>
    <row r="16" spans="1:8" ht="12.75">
      <c r="A16" s="8">
        <f>Intro!E15</f>
        <v>29.055118110236222</v>
      </c>
      <c r="B16" s="10">
        <v>1.678</v>
      </c>
      <c r="C16" s="18">
        <f>B16*Intro!$H$49+Intro!$H$51</f>
        <v>50.64245974148767</v>
      </c>
      <c r="D16" s="18">
        <f t="shared" si="0"/>
        <v>21.587341631251448</v>
      </c>
      <c r="E16" s="18">
        <f t="shared" si="1"/>
        <v>39.35754025851233</v>
      </c>
      <c r="F16" s="15">
        <f>$B$1*Intro!$L$13*Intro!$L$14*SIN(RADIANS(E16))</f>
        <v>0.6102886337640456</v>
      </c>
      <c r="G16" s="14">
        <v>1.08</v>
      </c>
      <c r="H16" s="15">
        <f t="shared" si="2"/>
        <v>1.7696544556940867</v>
      </c>
    </row>
    <row r="17" spans="1:8" ht="12.75">
      <c r="A17" s="8">
        <f>Intro!E16</f>
        <v>24.803149606299215</v>
      </c>
      <c r="B17" s="10">
        <v>1.678</v>
      </c>
      <c r="C17" s="18">
        <f>B17*Intro!$H$49+Intro!$H$51</f>
        <v>50.64245974148767</v>
      </c>
      <c r="D17" s="18">
        <f t="shared" si="0"/>
        <v>25.839310135188455</v>
      </c>
      <c r="E17" s="18">
        <f t="shared" si="1"/>
        <v>39.35754025851233</v>
      </c>
      <c r="F17" s="15">
        <f>$B$1*Intro!$L$13*Intro!$L$14*SIN(RADIANS(E17))</f>
        <v>0.6102886337640456</v>
      </c>
      <c r="G17" s="14">
        <v>1.26</v>
      </c>
      <c r="H17" s="15">
        <f t="shared" si="2"/>
        <v>2.0645968649764344</v>
      </c>
    </row>
    <row r="18" spans="1:8" ht="12.75">
      <c r="A18" s="8">
        <f>Intro!E17</f>
        <v>19.133858267716533</v>
      </c>
      <c r="B18" s="10">
        <v>1.664</v>
      </c>
      <c r="C18" s="18">
        <f>B18*Intro!$H$49+Intro!$H$51</f>
        <v>48.71455387069787</v>
      </c>
      <c r="D18" s="18">
        <f t="shared" si="0"/>
        <v>29.580695602981336</v>
      </c>
      <c r="E18" s="18">
        <f t="shared" si="1"/>
        <v>41.28544612930213</v>
      </c>
      <c r="F18" s="15">
        <f>$B$1*Intro!$L$13*Intro!$L$14*SIN(RADIANS(E18))</f>
        <v>0.6349761965447591</v>
      </c>
      <c r="G18" s="14">
        <v>1.4</v>
      </c>
      <c r="H18" s="15">
        <f t="shared" si="2"/>
        <v>2.2048070583088615</v>
      </c>
    </row>
    <row r="19" spans="1:8" ht="12.75">
      <c r="A19" s="8">
        <f>Intro!E18</f>
        <v>14.881889763779526</v>
      </c>
      <c r="B19" s="10">
        <v>1.61</v>
      </c>
      <c r="C19" s="18">
        <f>B19*Intro!$H$49+Intro!$H$51</f>
        <v>41.27834551193729</v>
      </c>
      <c r="D19" s="18">
        <f t="shared" si="0"/>
        <v>26.396455748157763</v>
      </c>
      <c r="E19" s="18">
        <f t="shared" si="1"/>
        <v>48.72165448806271</v>
      </c>
      <c r="F19" s="15">
        <f>$B$1*Intro!$L$13*Intro!$L$14*SIN(RADIANS(E19))</f>
        <v>0.7232273048035274</v>
      </c>
      <c r="G19" s="14">
        <v>1.32</v>
      </c>
      <c r="H19" s="15">
        <f t="shared" si="2"/>
        <v>1.8251523293338496</v>
      </c>
    </row>
    <row r="20" spans="1:8" ht="12.75">
      <c r="A20" s="8">
        <f>Intro!E19</f>
        <v>9.212598425196845</v>
      </c>
      <c r="B20" s="10">
        <v>1.58</v>
      </c>
      <c r="C20" s="18">
        <f>B20*Intro!$H$49+Intro!$H$51</f>
        <v>37.14711864595918</v>
      </c>
      <c r="D20" s="18">
        <f t="shared" si="0"/>
        <v>27.934520220762337</v>
      </c>
      <c r="E20" s="18">
        <f t="shared" si="1"/>
        <v>52.85288135404082</v>
      </c>
      <c r="F20" s="15">
        <f>$B$1*Intro!$L$13*Intro!$L$14*SIN(RADIANS(E20))</f>
        <v>0.7670860156857934</v>
      </c>
      <c r="G20" s="14">
        <v>1.4</v>
      </c>
      <c r="H20" s="15">
        <f t="shared" si="2"/>
        <v>1.825088675027358</v>
      </c>
    </row>
    <row r="21" spans="1:8" ht="12.75">
      <c r="A21" s="8">
        <f>Intro!E20</f>
        <v>4.960629921259837</v>
      </c>
      <c r="B21" s="10">
        <v>1.558</v>
      </c>
      <c r="C21" s="18">
        <f>B21*Intro!$H$49+Intro!$H$51</f>
        <v>34.11755227757524</v>
      </c>
      <c r="D21" s="18">
        <f t="shared" si="0"/>
        <v>29.156922356315405</v>
      </c>
      <c r="E21" s="18">
        <f t="shared" si="1"/>
        <v>55.88244772242476</v>
      </c>
      <c r="F21" s="15">
        <f>$B$1*Intro!$L$13*Intro!$L$14*SIN(RADIANS(E21))</f>
        <v>0.7967276497843131</v>
      </c>
      <c r="G21" s="14">
        <v>1.43</v>
      </c>
      <c r="H21" s="15">
        <f t="shared" si="2"/>
        <v>1.7948416882320122</v>
      </c>
    </row>
    <row r="22" spans="1:8" ht="12.75">
      <c r="A22" s="8">
        <f>Intro!E21</f>
        <v>-0.7086614173228298</v>
      </c>
      <c r="B22" s="10">
        <v>1.532</v>
      </c>
      <c r="C22" s="18">
        <f>B22*Intro!$H$49+Intro!$H$51</f>
        <v>30.537155660394205</v>
      </c>
      <c r="D22" s="18">
        <f t="shared" si="0"/>
        <v>31.245817077717035</v>
      </c>
      <c r="E22" s="18">
        <f t="shared" si="1"/>
        <v>59.462844339605795</v>
      </c>
      <c r="F22" s="15">
        <f>$B$1*Intro!$L$13*Intro!$L$14*SIN(RADIANS(E22))</f>
        <v>0.8288813815233028</v>
      </c>
      <c r="G22" s="14">
        <v>1.48</v>
      </c>
      <c r="H22" s="15">
        <f t="shared" si="2"/>
        <v>1.7855389600862834</v>
      </c>
    </row>
    <row r="23" spans="1:8" ht="12.75">
      <c r="A23" s="8">
        <f>Intro!E22</f>
        <v>-6.377952755905511</v>
      </c>
      <c r="B23" s="10">
        <v>1.486</v>
      </c>
      <c r="C23" s="18">
        <f>B23*Intro!$H$49+Intro!$H$51</f>
        <v>24.202607799227735</v>
      </c>
      <c r="D23" s="18">
        <f t="shared" si="0"/>
        <v>30.580560555133246</v>
      </c>
      <c r="E23" s="18">
        <f t="shared" si="1"/>
        <v>65.79739220077226</v>
      </c>
      <c r="F23" s="15">
        <f>$B$1*Intro!$L$13*Intro!$L$14*SIN(RADIANS(E23))</f>
        <v>0.8777708709439005</v>
      </c>
      <c r="G23" s="14">
        <v>1.46</v>
      </c>
      <c r="H23" s="15">
        <f t="shared" si="2"/>
        <v>1.663304227024538</v>
      </c>
    </row>
    <row r="24" spans="1:8" ht="12.75">
      <c r="A24" s="8">
        <f>Intro!E23</f>
        <v>-10.629921259842519</v>
      </c>
      <c r="B24" s="10">
        <v>1.438</v>
      </c>
      <c r="C24" s="18">
        <f>B24*Intro!$H$49+Intro!$H$51</f>
        <v>17.59264481366276</v>
      </c>
      <c r="D24" s="18">
        <f t="shared" si="0"/>
        <v>28.222566073505277</v>
      </c>
      <c r="E24" s="18">
        <f t="shared" si="1"/>
        <v>72.40735518633724</v>
      </c>
      <c r="F24" s="15">
        <f>$B$1*Intro!$L$13*Intro!$L$14*SIN(RADIANS(E24))</f>
        <v>0.9173508715916995</v>
      </c>
      <c r="G24" s="14">
        <v>1.42</v>
      </c>
      <c r="H24" s="15">
        <f t="shared" si="2"/>
        <v>1.5479355217008208</v>
      </c>
    </row>
    <row r="25" spans="1:8" ht="12.75">
      <c r="A25" s="8">
        <f>Intro!E24</f>
        <v>-16.2992125984252</v>
      </c>
      <c r="B25" s="10">
        <v>1.415</v>
      </c>
      <c r="C25" s="18">
        <f>B25*Intro!$H$49+Intro!$H$51</f>
        <v>14.425370883079552</v>
      </c>
      <c r="D25" s="18">
        <f t="shared" si="0"/>
        <v>30.72458348150475</v>
      </c>
      <c r="E25" s="18">
        <f t="shared" si="1"/>
        <v>75.57462911692045</v>
      </c>
      <c r="F25" s="15">
        <f>$B$1*Intro!$L$13*Intro!$L$14*SIN(RADIANS(E25))</f>
        <v>0.9320205917635572</v>
      </c>
      <c r="G25" s="14">
        <v>1.48</v>
      </c>
      <c r="H25" s="15">
        <f t="shared" si="2"/>
        <v>1.5879477482354367</v>
      </c>
    </row>
    <row r="26" spans="1:8" ht="12.75">
      <c r="A26" s="8">
        <f>Intro!E25</f>
        <v>-20.551181102362207</v>
      </c>
      <c r="B26" s="10">
        <v>1.366</v>
      </c>
      <c r="C26" s="18">
        <f>B26*Intro!$H$49+Intro!$H$51</f>
        <v>7.677700335315308</v>
      </c>
      <c r="D26" s="18">
        <f t="shared" si="0"/>
        <v>28.228881437677515</v>
      </c>
      <c r="E26" s="18">
        <f t="shared" si="1"/>
        <v>82.32229966468469</v>
      </c>
      <c r="F26" s="15">
        <f>$B$1*Intro!$L$13*Intro!$L$14*SIN(RADIANS(E26))</f>
        <v>0.9537336958061455</v>
      </c>
      <c r="G26" s="14">
        <v>1.41</v>
      </c>
      <c r="H26" s="15">
        <f t="shared" si="2"/>
        <v>1.4784001091711396</v>
      </c>
    </row>
    <row r="27" spans="1:8" ht="12.75">
      <c r="A27" s="8">
        <f>Intro!E26</f>
        <v>-26.22047244094489</v>
      </c>
      <c r="B27" s="10">
        <v>1.324</v>
      </c>
      <c r="C27" s="18">
        <f>B27*Intro!$H$49+Intro!$H$51</f>
        <v>1.8939827229459354</v>
      </c>
      <c r="D27" s="18">
        <f t="shared" si="0"/>
        <v>28.114455163890824</v>
      </c>
      <c r="E27" s="18">
        <f t="shared" si="1"/>
        <v>88.10601727705406</v>
      </c>
      <c r="F27" s="15">
        <f>$B$1*Intro!$L$13*Intro!$L$14*SIN(RADIANS(E27))</f>
        <v>0.9618352549005018</v>
      </c>
      <c r="G27" s="14">
        <v>1.38</v>
      </c>
      <c r="H27" s="15">
        <f t="shared" si="2"/>
        <v>1.434757140548727</v>
      </c>
    </row>
    <row r="28" spans="1:8" ht="12.75">
      <c r="A28" s="8">
        <f>Intro!E27</f>
        <v>-30.472440944881896</v>
      </c>
      <c r="B28" s="10">
        <v>1.283</v>
      </c>
      <c r="C28" s="18">
        <f>B28*Intro!$H$49+Intro!$H$51</f>
        <v>-3.7520273272241695</v>
      </c>
      <c r="D28" s="18">
        <f t="shared" si="0"/>
        <v>26.720413617657726</v>
      </c>
      <c r="E28" s="18">
        <f t="shared" si="1"/>
        <v>93.75202732722417</v>
      </c>
      <c r="F28" s="15">
        <f>$B$1*Intro!$L$13*Intro!$L$14*SIN(RADIANS(E28))</f>
        <v>0.9602982835357085</v>
      </c>
      <c r="G28" s="14">
        <v>1.34</v>
      </c>
      <c r="H28" s="15">
        <f t="shared" si="2"/>
        <v>1.3953997658584512</v>
      </c>
    </row>
    <row r="29" spans="1:8" ht="12.75">
      <c r="A29" s="8">
        <f>Intro!E28</f>
        <v>-36.14173228346456</v>
      </c>
      <c r="B29" s="10">
        <v>1.24</v>
      </c>
      <c r="C29" s="18">
        <f>B29*Intro!$H$49+Intro!$H$51</f>
        <v>-9.67345250179278</v>
      </c>
      <c r="D29" s="18">
        <f t="shared" si="0"/>
        <v>26.468279781671782</v>
      </c>
      <c r="E29" s="18">
        <f t="shared" si="1"/>
        <v>99.67345250179278</v>
      </c>
      <c r="F29" s="15">
        <f>$B$1*Intro!$L$13*Intro!$L$14*SIN(RADIANS(E29))</f>
        <v>0.9486776040632965</v>
      </c>
      <c r="G29" s="14">
        <v>1.3</v>
      </c>
      <c r="H29" s="15">
        <f t="shared" si="2"/>
        <v>1.370328544103865</v>
      </c>
    </row>
    <row r="30" spans="1:8" ht="12.75">
      <c r="A30" s="8">
        <f>Intro!E29</f>
        <v>-40.39370078740157</v>
      </c>
      <c r="B30" s="10">
        <v>1.192</v>
      </c>
      <c r="C30" s="18">
        <f>B30*Intro!$H$49+Intro!$H$51</f>
        <v>-16.283415487357786</v>
      </c>
      <c r="D30" s="18">
        <f t="shared" si="0"/>
        <v>24.110285300043785</v>
      </c>
      <c r="E30" s="18">
        <f t="shared" si="1"/>
        <v>106.28341548735779</v>
      </c>
      <c r="F30" s="15">
        <f>$B$1*Intro!$L$13*Intro!$L$14*SIN(RADIANS(E30))</f>
        <v>0.9237573242947933</v>
      </c>
      <c r="G30" s="14">
        <v>1.25</v>
      </c>
      <c r="H30" s="15">
        <f t="shared" si="2"/>
        <v>1.3531692438317218</v>
      </c>
    </row>
    <row r="31" spans="1:8" ht="12.75">
      <c r="A31" s="8">
        <f>Intro!E30</f>
        <v>-46.062992125984266</v>
      </c>
      <c r="B31" s="10">
        <v>1.121</v>
      </c>
      <c r="C31" s="18">
        <f>B31*Intro!$H$49+Intro!$H$51</f>
        <v>-26.06065240350597</v>
      </c>
      <c r="D31" s="18">
        <f t="shared" si="0"/>
        <v>20.002339722478297</v>
      </c>
      <c r="E31" s="18">
        <f t="shared" si="1"/>
        <v>116.06065240350597</v>
      </c>
      <c r="F31" s="15">
        <f>$B$1*Intro!$L$13*Intro!$L$14*SIN(RADIANS(E31))</f>
        <v>0.864517266371887</v>
      </c>
      <c r="G31" s="14">
        <v>1.08</v>
      </c>
      <c r="H31" s="15">
        <f t="shared" si="2"/>
        <v>1.2492520878529447</v>
      </c>
    </row>
    <row r="32" spans="1:8" ht="12.75">
      <c r="A32" s="8">
        <f>Intro!E31</f>
        <v>-50.31496062992127</v>
      </c>
      <c r="B32" s="10">
        <v>1.092</v>
      </c>
      <c r="C32" s="18">
        <f>B32*Intro!$H$49+Intro!$H$51</f>
        <v>-30.05417170728481</v>
      </c>
      <c r="D32" s="18">
        <f t="shared" si="0"/>
        <v>20.260788922636465</v>
      </c>
      <c r="E32" s="18">
        <f t="shared" si="1"/>
        <v>120.05417170728481</v>
      </c>
      <c r="F32" s="15">
        <f>$B$1*Intro!$L$13*Intro!$L$14*SIN(RADIANS(E32))</f>
        <v>0.8329737572022482</v>
      </c>
      <c r="G32" s="14">
        <v>1.02</v>
      </c>
      <c r="H32" s="15">
        <f t="shared" si="2"/>
        <v>1.2245283734098977</v>
      </c>
    </row>
    <row r="33" spans="1:8" ht="12.75">
      <c r="A33" s="8">
        <f>Intro!E32</f>
        <v>-55.98425196850394</v>
      </c>
      <c r="B33" s="10">
        <v>1.034</v>
      </c>
      <c r="C33" s="18">
        <f>B33*Intro!$H$49+Intro!$H$51</f>
        <v>-38.04121031484249</v>
      </c>
      <c r="D33" s="18">
        <f t="shared" si="0"/>
        <v>17.943041653661453</v>
      </c>
      <c r="E33" s="18">
        <f t="shared" si="1"/>
        <v>128.0412103148425</v>
      </c>
      <c r="F33" s="15">
        <f>$B$1*Intro!$L$13*Intro!$L$14*SIN(RADIANS(E33))</f>
        <v>0.7579244699443737</v>
      </c>
      <c r="G33" s="14">
        <v>0.91</v>
      </c>
      <c r="H33" s="15">
        <f t="shared" si="2"/>
        <v>1.2006473416365455</v>
      </c>
    </row>
    <row r="34" spans="1:8" ht="12.75">
      <c r="A34" s="8">
        <f>Intro!E33</f>
        <v>-60.23622047244095</v>
      </c>
      <c r="B34" s="10">
        <v>0.965</v>
      </c>
      <c r="C34" s="18">
        <f>B34*Intro!$H$49+Intro!$H$51</f>
        <v>-47.543032106592165</v>
      </c>
      <c r="D34" s="18">
        <f t="shared" si="0"/>
        <v>12.693188365848783</v>
      </c>
      <c r="E34" s="18">
        <f t="shared" si="1"/>
        <v>137.54303210659216</v>
      </c>
      <c r="F34" s="15">
        <f>$B$1*Intro!$L$13*Intro!$L$14*SIN(RADIANS(E34))</f>
        <v>0.6496285928709994</v>
      </c>
      <c r="G34" s="14">
        <v>0.73</v>
      </c>
      <c r="H34" s="15">
        <f t="shared" si="2"/>
        <v>1.1237190111565185</v>
      </c>
    </row>
    <row r="35" spans="1:8" ht="12.75">
      <c r="A35" s="8">
        <f>Intro!E34</f>
        <v>-65.90551181102362</v>
      </c>
      <c r="B35" s="10">
        <v>0.92</v>
      </c>
      <c r="C35" s="18">
        <f>B35*Intro!$H$49+Intro!$H$51</f>
        <v>-53.739872405559325</v>
      </c>
      <c r="D35" s="18">
        <f t="shared" si="0"/>
        <v>12.16563940546429</v>
      </c>
      <c r="E35" s="18">
        <f t="shared" si="1"/>
        <v>143.7398724055593</v>
      </c>
      <c r="F35" s="15">
        <f>$B$1*Intro!$L$13*Intro!$L$14*SIN(RADIANS(E35))</f>
        <v>0.5691905173322691</v>
      </c>
      <c r="G35" s="14">
        <v>0.7</v>
      </c>
      <c r="H35" s="15">
        <f t="shared" si="2"/>
        <v>1.2298166935050499</v>
      </c>
    </row>
    <row r="36" spans="1:8" ht="12.75">
      <c r="A36" s="8">
        <f>Intro!E35</f>
        <v>-70.15748031496062</v>
      </c>
      <c r="B36" s="10">
        <v>0.89</v>
      </c>
      <c r="C36" s="18">
        <f>B36*Intro!$H$49+Intro!$H$51</f>
        <v>-57.871099271537446</v>
      </c>
      <c r="D36" s="18">
        <f t="shared" si="0"/>
        <v>12.286381043423177</v>
      </c>
      <c r="E36" s="18">
        <f t="shared" si="1"/>
        <v>147.87109927153745</v>
      </c>
      <c r="F36" s="15">
        <f>$B$1*Intro!$L$13*Intro!$L$14*SIN(RADIANS(E36))</f>
        <v>0.5118084193914788</v>
      </c>
      <c r="G36" s="14">
        <v>0.64</v>
      </c>
      <c r="H36" s="15">
        <f t="shared" si="2"/>
        <v>1.250467901174694</v>
      </c>
    </row>
    <row r="37" spans="1:8" ht="12.75">
      <c r="A37" s="8">
        <f>Intro!E36</f>
        <v>-75.82677165354332</v>
      </c>
      <c r="B37" s="10">
        <v>0.795</v>
      </c>
      <c r="C37" s="18">
        <f>B37*Intro!$H$49+Intro!$H$51</f>
        <v>-70.95331768046813</v>
      </c>
      <c r="D37" s="18">
        <f t="shared" si="0"/>
        <v>4.873453973075186</v>
      </c>
      <c r="E37" s="18">
        <f t="shared" si="1"/>
        <v>160.95331768046813</v>
      </c>
      <c r="F37" s="15">
        <f>$B$1*Intro!$L$13*Intro!$L$14*SIN(RADIANS(E37))</f>
        <v>0.3140553655087934</v>
      </c>
      <c r="G37" s="14">
        <v>0.3</v>
      </c>
      <c r="H37" s="15">
        <f t="shared" si="2"/>
        <v>0.9552455807082847</v>
      </c>
    </row>
    <row r="38" spans="1:8" ht="12.75">
      <c r="A38" s="8">
        <f>Intro!E37</f>
        <v>-80.07874015748033</v>
      </c>
      <c r="B38" s="10">
        <v>0.763</v>
      </c>
      <c r="C38" s="18">
        <f>B38*Intro!$H$49+Intro!$H$51</f>
        <v>-75.35995967084479</v>
      </c>
      <c r="D38" s="18">
        <f t="shared" si="0"/>
        <v>4.718780486635538</v>
      </c>
      <c r="E38" s="18">
        <f t="shared" si="1"/>
        <v>165.35995967084477</v>
      </c>
      <c r="F38" s="15">
        <f>$B$1*Intro!$L$13*Intro!$L$14*SIN(RADIANS(E38))</f>
        <v>0.2432324758657681</v>
      </c>
      <c r="G38" s="14">
        <v>0.31</v>
      </c>
      <c r="H38" s="15">
        <f t="shared" si="2"/>
        <v>1.2745008613532294</v>
      </c>
    </row>
    <row r="39" spans="1:8" ht="12.75">
      <c r="A39" s="8">
        <f>Intro!E38</f>
        <v>-85.74803149606299</v>
      </c>
      <c r="B39" s="10">
        <v>0.679</v>
      </c>
      <c r="C39" s="18">
        <f>B39*Intro!$H$49+Intro!$H$51</f>
        <v>-86.9273948955835</v>
      </c>
      <c r="D39" s="18">
        <f t="shared" si="0"/>
        <v>1.1793633995205113</v>
      </c>
      <c r="E39" s="18">
        <f t="shared" si="1"/>
        <v>176.92739489558352</v>
      </c>
      <c r="F39" s="15">
        <f>$B$1*Intro!$L$13*Intro!$L$14*SIN(RADIANS(E39))</f>
        <v>0.051583873191667164</v>
      </c>
      <c r="G39" s="14">
        <v>0.01</v>
      </c>
      <c r="H39" s="15">
        <f t="shared" si="2"/>
        <v>0.19385903735540735</v>
      </c>
    </row>
    <row r="40" spans="1:8" ht="12.75">
      <c r="A40" s="8">
        <f>Intro!E39</f>
        <v>-90</v>
      </c>
      <c r="B40" s="10">
        <v>0.647</v>
      </c>
      <c r="C40" s="18">
        <f>B40*Intro!$H$49+Intro!$H$51</f>
        <v>-91.33403688596016</v>
      </c>
      <c r="D40" s="18">
        <f t="shared" si="0"/>
        <v>1.3340368859601597</v>
      </c>
      <c r="E40" s="18">
        <f t="shared" si="1"/>
        <v>181.33403688596016</v>
      </c>
      <c r="F40" s="15">
        <f>$B$1*Intro!$L$13*Intro!$L$14*SIN(RADIANS(E40))</f>
        <v>-0.02240495005267053</v>
      </c>
      <c r="G40" s="14">
        <v>0.01</v>
      </c>
      <c r="H40" s="15">
        <f t="shared" si="2"/>
        <v>-0.4463299394326506</v>
      </c>
    </row>
    <row r="42" spans="4:5" ht="12.75">
      <c r="D42" s="1" t="s">
        <v>28</v>
      </c>
      <c r="E42" s="6"/>
    </row>
    <row r="43" spans="4:5" ht="12.75">
      <c r="D43" s="19">
        <f>MAX(D4:D40)</f>
        <v>31.245817077717035</v>
      </c>
      <c r="E43" s="21"/>
    </row>
  </sheetData>
  <mergeCells count="1">
    <mergeCell ref="D1:F1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0">
      <selection activeCell="D1" sqref="D1:F1"/>
    </sheetView>
  </sheetViews>
  <sheetFormatPr defaultColWidth="9.140625" defaultRowHeight="12.75"/>
  <cols>
    <col min="1" max="1" width="12.7109375" style="0" bestFit="1" customWidth="1"/>
    <col min="4" max="4" width="13.7109375" style="0" bestFit="1" customWidth="1"/>
    <col min="5" max="5" width="17.57421875" style="0" bestFit="1" customWidth="1"/>
    <col min="6" max="6" width="9.00390625" style="0" bestFit="1" customWidth="1"/>
  </cols>
  <sheetData>
    <row r="1" spans="1:6" ht="12.75">
      <c r="A1" s="20" t="s">
        <v>44</v>
      </c>
      <c r="B1" s="24">
        <f>Intro!L22+Intro!L23</f>
        <v>1.186</v>
      </c>
      <c r="D1" s="42" t="s">
        <v>53</v>
      </c>
      <c r="E1" s="42"/>
      <c r="F1" s="42"/>
    </row>
    <row r="2" spans="2:5" ht="12.75">
      <c r="B2" s="7"/>
      <c r="C2" s="7"/>
      <c r="D2" s="7"/>
      <c r="E2" s="7"/>
    </row>
    <row r="3" spans="1:8" ht="12.75">
      <c r="A3" s="4" t="s">
        <v>27</v>
      </c>
      <c r="B3" s="9" t="s">
        <v>15</v>
      </c>
      <c r="C3" s="13" t="s">
        <v>18</v>
      </c>
      <c r="D3" s="13" t="s">
        <v>10</v>
      </c>
      <c r="E3" s="13" t="s">
        <v>33</v>
      </c>
      <c r="F3" s="13" t="s">
        <v>34</v>
      </c>
      <c r="G3" s="9" t="s">
        <v>35</v>
      </c>
      <c r="H3" s="13" t="s">
        <v>37</v>
      </c>
    </row>
    <row r="4" spans="1:8" ht="12.75">
      <c r="A4" s="8">
        <f>Intro!E3</f>
        <v>90</v>
      </c>
      <c r="B4" s="10">
        <v>1.951</v>
      </c>
      <c r="C4" s="18">
        <f>B4*Intro!$H$49+Intro!$H$51</f>
        <v>88.23662422188852</v>
      </c>
      <c r="D4" s="18">
        <f>ABS(A4-C4)</f>
        <v>1.763375778111481</v>
      </c>
      <c r="E4" s="18">
        <f>90-C4</f>
        <v>1.763375778111481</v>
      </c>
      <c r="F4" s="15">
        <f>$B$1*Intro!$L$13*Intro!$L$14*SIN(RADIANS(E4))</f>
        <v>0.035802006886242216</v>
      </c>
      <c r="G4" s="14">
        <v>0.01</v>
      </c>
      <c r="H4" s="15">
        <f>G4/F4</f>
        <v>0.2793139510802882</v>
      </c>
    </row>
    <row r="5" spans="1:8" ht="12.75">
      <c r="A5" s="8">
        <f>Intro!E4</f>
        <v>84.33070866141732</v>
      </c>
      <c r="B5" s="10">
        <v>1.914</v>
      </c>
      <c r="C5" s="18">
        <f>B5*Intro!$H$49+Intro!$H$51</f>
        <v>83.14144442051548</v>
      </c>
      <c r="D5" s="18">
        <f aca="true" t="shared" si="0" ref="D5:D40">ABS(A5-C5)</f>
        <v>1.189264240901835</v>
      </c>
      <c r="E5" s="18">
        <f aca="true" t="shared" si="1" ref="E5:E40">90-C5</f>
        <v>6.858555579484516</v>
      </c>
      <c r="F5" s="15">
        <f>$B$1*Intro!$L$13*Intro!$L$14*SIN(RADIANS(E5))</f>
        <v>0.13893960278644457</v>
      </c>
      <c r="G5" s="14">
        <v>0.01</v>
      </c>
      <c r="H5" s="15">
        <f aca="true" t="shared" si="2" ref="H5:H40">G5/F5</f>
        <v>0.07197371951156632</v>
      </c>
    </row>
    <row r="6" spans="1:8" ht="12.75">
      <c r="A6" s="8">
        <f>Intro!E5</f>
        <v>78.66141732283465</v>
      </c>
      <c r="B6" s="10">
        <v>1.918</v>
      </c>
      <c r="C6" s="18">
        <f>B6*Intro!$H$49+Intro!$H$51</f>
        <v>83.69227466931255</v>
      </c>
      <c r="D6" s="18">
        <f t="shared" si="0"/>
        <v>5.030857346477902</v>
      </c>
      <c r="E6" s="18">
        <f t="shared" si="1"/>
        <v>6.307725330687447</v>
      </c>
      <c r="F6" s="15">
        <f>$B$1*Intro!$L$13*Intro!$L$14*SIN(RADIANS(E6))</f>
        <v>0.1278280644425526</v>
      </c>
      <c r="G6" s="14">
        <v>0.32</v>
      </c>
      <c r="H6" s="15">
        <f t="shared" si="2"/>
        <v>2.503362633201817</v>
      </c>
    </row>
    <row r="7" spans="1:8" ht="12.75">
      <c r="A7" s="8">
        <f>Intro!E6</f>
        <v>74.40944881889763</v>
      </c>
      <c r="B7" s="10">
        <v>1.903</v>
      </c>
      <c r="C7" s="18">
        <f>B7*Intro!$H$49+Intro!$H$51</f>
        <v>81.62666123632351</v>
      </c>
      <c r="D7" s="18">
        <f t="shared" si="0"/>
        <v>7.217212417425884</v>
      </c>
      <c r="E7" s="18">
        <f t="shared" si="1"/>
        <v>8.373338763676486</v>
      </c>
      <c r="F7" s="15">
        <f>$B$1*Intro!$L$13*Intro!$L$14*SIN(RADIANS(E7))</f>
        <v>0.16942703499976594</v>
      </c>
      <c r="G7" s="14">
        <v>0.42</v>
      </c>
      <c r="H7" s="15">
        <f t="shared" si="2"/>
        <v>2.478943221786182</v>
      </c>
    </row>
    <row r="8" spans="1:8" ht="12.75">
      <c r="A8" s="8">
        <f>Intro!E7</f>
        <v>68.74015748031496</v>
      </c>
      <c r="B8" s="10">
        <v>1.89</v>
      </c>
      <c r="C8" s="18">
        <f>B8*Intro!$H$49+Intro!$H$51</f>
        <v>79.83646292773301</v>
      </c>
      <c r="D8" s="18">
        <f t="shared" si="0"/>
        <v>11.096305447418047</v>
      </c>
      <c r="E8" s="18">
        <f t="shared" si="1"/>
        <v>10.16353707226699</v>
      </c>
      <c r="F8" s="15">
        <f>$B$1*Intro!$L$13*Intro!$L$14*SIN(RADIANS(E8))</f>
        <v>0.20530330721335643</v>
      </c>
      <c r="G8" s="14">
        <v>0.62</v>
      </c>
      <c r="H8" s="15">
        <f t="shared" si="2"/>
        <v>3.0199221260263487</v>
      </c>
    </row>
    <row r="9" spans="1:8" ht="12.75">
      <c r="A9" s="8">
        <f>Intro!E8</f>
        <v>64.48818897637796</v>
      </c>
      <c r="B9" s="10">
        <v>1.876</v>
      </c>
      <c r="C9" s="18">
        <f>B9*Intro!$H$49+Intro!$H$51</f>
        <v>77.90855705694321</v>
      </c>
      <c r="D9" s="18">
        <f t="shared" si="0"/>
        <v>13.420368080565254</v>
      </c>
      <c r="E9" s="18">
        <f t="shared" si="1"/>
        <v>12.09144294305679</v>
      </c>
      <c r="F9" s="15">
        <f>$B$1*Intro!$L$13*Intro!$L$14*SIN(RADIANS(E9))</f>
        <v>0.2437141663516042</v>
      </c>
      <c r="G9" s="14">
        <v>0.73</v>
      </c>
      <c r="H9" s="15">
        <f t="shared" si="2"/>
        <v>2.9953121352282643</v>
      </c>
    </row>
    <row r="10" spans="1:8" ht="12.75">
      <c r="A10" s="8">
        <f>Intro!E9</f>
        <v>58.818897637795274</v>
      </c>
      <c r="B10" s="10">
        <v>1.856</v>
      </c>
      <c r="C10" s="18">
        <f>B10*Intro!$H$49+Intro!$H$51</f>
        <v>75.15440581295783</v>
      </c>
      <c r="D10" s="18">
        <f t="shared" si="0"/>
        <v>16.33550817516256</v>
      </c>
      <c r="E10" s="18">
        <f t="shared" si="1"/>
        <v>14.845594187042167</v>
      </c>
      <c r="F10" s="15">
        <f>$B$1*Intro!$L$13*Intro!$L$14*SIN(RADIANS(E10))</f>
        <v>0.2980974932546852</v>
      </c>
      <c r="G10" s="14">
        <v>0.88</v>
      </c>
      <c r="H10" s="15">
        <f t="shared" si="2"/>
        <v>2.952054344342156</v>
      </c>
    </row>
    <row r="11" spans="1:8" ht="12.75">
      <c r="A11" s="8">
        <f>Intro!E10</f>
        <v>54.56692913385827</v>
      </c>
      <c r="B11" s="10">
        <v>1.842</v>
      </c>
      <c r="C11" s="18">
        <f>B11*Intro!$H$49+Intro!$H$51</f>
        <v>73.22649994216803</v>
      </c>
      <c r="D11" s="18">
        <f t="shared" si="0"/>
        <v>18.659570808309766</v>
      </c>
      <c r="E11" s="18">
        <f t="shared" si="1"/>
        <v>16.773500057831967</v>
      </c>
      <c r="F11" s="15">
        <f>$B$1*Intro!$L$13*Intro!$L$14*SIN(RADIANS(E11))</f>
        <v>0.3357634836749419</v>
      </c>
      <c r="G11" s="14">
        <v>0.99</v>
      </c>
      <c r="H11" s="15">
        <f t="shared" si="2"/>
        <v>2.9485040754414946</v>
      </c>
    </row>
    <row r="12" spans="1:8" ht="12.75">
      <c r="A12" s="8">
        <f>Intro!E11</f>
        <v>48.89763779527559</v>
      </c>
      <c r="B12" s="10">
        <v>1.823</v>
      </c>
      <c r="C12" s="18">
        <f>B12*Intro!$H$49+Intro!$H$51</f>
        <v>70.6100562603819</v>
      </c>
      <c r="D12" s="18">
        <f t="shared" si="0"/>
        <v>21.712418465106303</v>
      </c>
      <c r="E12" s="18">
        <f t="shared" si="1"/>
        <v>19.389943739618104</v>
      </c>
      <c r="F12" s="15">
        <f>$B$1*Intro!$L$13*Intro!$L$14*SIN(RADIANS(E12))</f>
        <v>0.3862655662006661</v>
      </c>
      <c r="G12" s="14">
        <v>1.13</v>
      </c>
      <c r="H12" s="15">
        <f t="shared" si="2"/>
        <v>2.9254484450031497</v>
      </c>
    </row>
    <row r="13" spans="1:8" ht="12.75">
      <c r="A13" s="8">
        <f>Intro!E12</f>
        <v>44.645669291338585</v>
      </c>
      <c r="B13" s="10">
        <v>1.809</v>
      </c>
      <c r="C13" s="18">
        <f>B13*Intro!$H$49+Intro!$H$51</f>
        <v>68.6821503895921</v>
      </c>
      <c r="D13" s="18">
        <f t="shared" si="0"/>
        <v>24.03648109825351</v>
      </c>
      <c r="E13" s="18">
        <f t="shared" si="1"/>
        <v>21.317849610407904</v>
      </c>
      <c r="F13" s="15">
        <f>$B$1*Intro!$L$13*Intro!$L$14*SIN(RADIANS(E13))</f>
        <v>0.42296813618321705</v>
      </c>
      <c r="G13" s="14">
        <v>1.24</v>
      </c>
      <c r="H13" s="15">
        <f t="shared" si="2"/>
        <v>2.9316629171869093</v>
      </c>
    </row>
    <row r="14" spans="1:8" ht="12.75">
      <c r="A14" s="8">
        <f>Intro!E13</f>
        <v>38.976377952755904</v>
      </c>
      <c r="B14" s="10">
        <v>1.769</v>
      </c>
      <c r="C14" s="18">
        <f>B14*Intro!$H$49+Intro!$H$51</f>
        <v>63.173847901621286</v>
      </c>
      <c r="D14" s="18">
        <f t="shared" si="0"/>
        <v>24.197469948865383</v>
      </c>
      <c r="E14" s="18">
        <f t="shared" si="1"/>
        <v>26.826152098378714</v>
      </c>
      <c r="F14" s="15">
        <f>$B$1*Intro!$L$13*Intro!$L$14*SIN(RADIANS(E14))</f>
        <v>0.5250546441858237</v>
      </c>
      <c r="G14" s="14">
        <v>1.23</v>
      </c>
      <c r="H14" s="15">
        <f t="shared" si="2"/>
        <v>2.342613313910022</v>
      </c>
    </row>
    <row r="15" spans="1:8" ht="12.75">
      <c r="A15" s="8">
        <f>Intro!E14</f>
        <v>34.724409448818896</v>
      </c>
      <c r="B15" s="10">
        <v>1.762</v>
      </c>
      <c r="C15" s="18">
        <f>B15*Intro!$H$49+Intro!$H$51</f>
        <v>62.209894966226386</v>
      </c>
      <c r="D15" s="18">
        <f t="shared" si="0"/>
        <v>27.48548551740749</v>
      </c>
      <c r="E15" s="18">
        <f t="shared" si="1"/>
        <v>27.790105033773614</v>
      </c>
      <c r="F15" s="15">
        <f>$B$1*Intro!$L$13*Intro!$L$14*SIN(RADIANS(E15))</f>
        <v>0.5424472516993731</v>
      </c>
      <c r="G15" s="14">
        <v>1.38</v>
      </c>
      <c r="H15" s="15">
        <f t="shared" si="2"/>
        <v>2.5440261623167046</v>
      </c>
    </row>
    <row r="16" spans="1:8" ht="12.75">
      <c r="A16" s="8">
        <f>Intro!E15</f>
        <v>29.055118110236222</v>
      </c>
      <c r="B16" s="10">
        <v>1.769</v>
      </c>
      <c r="C16" s="18">
        <f>B16*Intro!$H$49+Intro!$H$51</f>
        <v>63.173847901621286</v>
      </c>
      <c r="D16" s="18">
        <f t="shared" si="0"/>
        <v>34.118729791385064</v>
      </c>
      <c r="E16" s="18">
        <f t="shared" si="1"/>
        <v>26.826152098378714</v>
      </c>
      <c r="F16" s="15">
        <f>$B$1*Intro!$L$13*Intro!$L$14*SIN(RADIANS(E16))</f>
        <v>0.5250546441858237</v>
      </c>
      <c r="G16" s="14">
        <v>1.65</v>
      </c>
      <c r="H16" s="15">
        <f t="shared" si="2"/>
        <v>3.1425300552451514</v>
      </c>
    </row>
    <row r="17" spans="1:8" ht="12.75">
      <c r="A17" s="8">
        <f>Intro!E16</f>
        <v>24.803149606299215</v>
      </c>
      <c r="B17" s="10">
        <v>1.724</v>
      </c>
      <c r="C17" s="18">
        <f>B17*Intro!$H$49+Intro!$H$51</f>
        <v>56.97700760265411</v>
      </c>
      <c r="D17" s="18">
        <f t="shared" si="0"/>
        <v>32.1738579963549</v>
      </c>
      <c r="E17" s="18">
        <f t="shared" si="1"/>
        <v>33.02299239734589</v>
      </c>
      <c r="F17" s="15">
        <f>$B$1*Intro!$L$13*Intro!$L$14*SIN(RADIANS(E17))</f>
        <v>0.634060516056365</v>
      </c>
      <c r="G17" s="14">
        <v>1.58</v>
      </c>
      <c r="H17" s="15">
        <f t="shared" si="2"/>
        <v>2.4918757121592248</v>
      </c>
    </row>
    <row r="18" spans="1:8" ht="12.75">
      <c r="A18" s="8">
        <f>Intro!E17</f>
        <v>19.133858267716533</v>
      </c>
      <c r="B18" s="10">
        <v>1.718</v>
      </c>
      <c r="C18" s="18">
        <f>B18*Intro!$H$49+Intro!$H$51</f>
        <v>56.15076222945848</v>
      </c>
      <c r="D18" s="18">
        <f t="shared" si="0"/>
        <v>37.016903961741946</v>
      </c>
      <c r="E18" s="18">
        <f t="shared" si="1"/>
        <v>33.84923777054152</v>
      </c>
      <c r="F18" s="15">
        <f>$B$1*Intro!$L$13*Intro!$L$14*SIN(RADIANS(E18))</f>
        <v>0.6480616449685126</v>
      </c>
      <c r="G18" s="14">
        <v>1.8</v>
      </c>
      <c r="H18" s="15">
        <f t="shared" si="2"/>
        <v>2.7775135497911725</v>
      </c>
    </row>
    <row r="19" spans="1:8" ht="12.75">
      <c r="A19" s="8">
        <f>Intro!E18</f>
        <v>14.881889763779526</v>
      </c>
      <c r="B19" s="10">
        <v>1.728</v>
      </c>
      <c r="C19" s="18">
        <f>B19*Intro!$H$49+Intro!$H$51</f>
        <v>57.52783785145121</v>
      </c>
      <c r="D19" s="18">
        <f t="shared" si="0"/>
        <v>42.645948087671684</v>
      </c>
      <c r="E19" s="18">
        <f t="shared" si="1"/>
        <v>32.47216214854879</v>
      </c>
      <c r="F19" s="15">
        <f>$B$1*Intro!$L$13*Intro!$L$14*SIN(RADIANS(E19))</f>
        <v>0.6246529965768342</v>
      </c>
      <c r="G19" s="14">
        <v>2.03</v>
      </c>
      <c r="H19" s="15">
        <f t="shared" si="2"/>
        <v>3.2498043091518314</v>
      </c>
    </row>
    <row r="20" spans="1:8" ht="12.75">
      <c r="A20" s="8">
        <f>Intro!E19</f>
        <v>9.212598425196845</v>
      </c>
      <c r="B20" s="10">
        <v>1.663</v>
      </c>
      <c r="C20" s="18">
        <f>B20*Intro!$H$49+Intro!$H$51</f>
        <v>48.57684630849863</v>
      </c>
      <c r="D20" s="18">
        <f t="shared" si="0"/>
        <v>39.364247883301786</v>
      </c>
      <c r="E20" s="18">
        <f t="shared" si="1"/>
        <v>41.42315369150137</v>
      </c>
      <c r="F20" s="15">
        <f>$B$1*Intro!$L$13*Intro!$L$14*SIN(RADIANS(E20))</f>
        <v>0.7697664846585127</v>
      </c>
      <c r="G20" s="14">
        <v>1.89</v>
      </c>
      <c r="H20" s="15">
        <f t="shared" si="2"/>
        <v>2.4552900622043192</v>
      </c>
    </row>
    <row r="21" spans="1:8" ht="12.75">
      <c r="A21" s="8">
        <f>Intro!E20</f>
        <v>4.960629921259837</v>
      </c>
      <c r="B21" s="10">
        <v>1.667</v>
      </c>
      <c r="C21" s="18">
        <f>B21*Intro!$H$49+Intro!$H$51</f>
        <v>49.1276765572957</v>
      </c>
      <c r="D21" s="18">
        <f t="shared" si="0"/>
        <v>44.16704663603586</v>
      </c>
      <c r="E21" s="18">
        <f t="shared" si="1"/>
        <v>40.8723234427043</v>
      </c>
      <c r="F21" s="15">
        <f>$B$1*Intro!$L$13*Intro!$L$14*SIN(RADIANS(E21))</f>
        <v>0.7613437903995653</v>
      </c>
      <c r="G21" s="14">
        <v>2.06</v>
      </c>
      <c r="H21" s="15">
        <f t="shared" si="2"/>
        <v>2.7057421705887683</v>
      </c>
    </row>
    <row r="22" spans="1:8" ht="12.75">
      <c r="A22" s="8">
        <f>Intro!E21</f>
        <v>-0.7086614173228298</v>
      </c>
      <c r="B22" s="10">
        <v>1.641</v>
      </c>
      <c r="C22" s="18">
        <f>B22*Intro!$H$49+Intro!$H$51</f>
        <v>45.54727994011466</v>
      </c>
      <c r="D22" s="18">
        <f t="shared" si="0"/>
        <v>46.25594135743749</v>
      </c>
      <c r="E22" s="18">
        <f t="shared" si="1"/>
        <v>44.45272005988534</v>
      </c>
      <c r="F22" s="15">
        <f>$B$1*Intro!$L$13*Intro!$L$14*SIN(RADIANS(E22))</f>
        <v>0.8147990421552133</v>
      </c>
      <c r="G22" s="14">
        <v>2.14</v>
      </c>
      <c r="H22" s="15">
        <f t="shared" si="2"/>
        <v>2.6264144768009507</v>
      </c>
    </row>
    <row r="23" spans="1:8" ht="12.75">
      <c r="A23" s="8">
        <f>Intro!E22</f>
        <v>-6.377952755905511</v>
      </c>
      <c r="B23" s="10">
        <v>1.582</v>
      </c>
      <c r="C23" s="18">
        <f>B23*Intro!$H$49+Intro!$H$51</f>
        <v>37.42253377035772</v>
      </c>
      <c r="D23" s="18">
        <f t="shared" si="0"/>
        <v>43.80048652626323</v>
      </c>
      <c r="E23" s="18">
        <f t="shared" si="1"/>
        <v>52.57746622964228</v>
      </c>
      <c r="F23" s="15">
        <f>$B$1*Intro!$L$13*Intro!$L$14*SIN(RADIANS(E23))</f>
        <v>0.9239964077324613</v>
      </c>
      <c r="G23" s="14">
        <v>2.05</v>
      </c>
      <c r="H23" s="15">
        <f t="shared" si="2"/>
        <v>2.218623344035302</v>
      </c>
    </row>
    <row r="24" spans="1:8" ht="12.75">
      <c r="A24" s="8">
        <f>Intro!E23</f>
        <v>-10.629921259842519</v>
      </c>
      <c r="B24" s="10">
        <v>1.517</v>
      </c>
      <c r="C24" s="18">
        <f>B24*Intro!$H$49+Intro!$H$51</f>
        <v>28.47154222740511</v>
      </c>
      <c r="D24" s="18">
        <f t="shared" si="0"/>
        <v>39.10146348724763</v>
      </c>
      <c r="E24" s="18">
        <f t="shared" si="1"/>
        <v>61.52845777259489</v>
      </c>
      <c r="F24" s="15">
        <f>$B$1*Intro!$L$13*Intro!$L$14*SIN(RADIANS(E24))</f>
        <v>1.0227494415587843</v>
      </c>
      <c r="G24" s="14">
        <v>1.88</v>
      </c>
      <c r="H24" s="15">
        <f t="shared" si="2"/>
        <v>1.8381823774302628</v>
      </c>
    </row>
    <row r="25" spans="1:8" ht="12.75">
      <c r="A25" s="8">
        <f>Intro!E24</f>
        <v>-16.2992125984252</v>
      </c>
      <c r="B25" s="10">
        <v>1.484</v>
      </c>
      <c r="C25" s="18">
        <f>B25*Intro!$H$49+Intro!$H$51</f>
        <v>23.9271926748292</v>
      </c>
      <c r="D25" s="18">
        <f t="shared" si="0"/>
        <v>40.2264052732544</v>
      </c>
      <c r="E25" s="18">
        <f t="shared" si="1"/>
        <v>66.0728073251708</v>
      </c>
      <c r="F25" s="15">
        <f>$B$1*Intro!$L$13*Intro!$L$14*SIN(RADIANS(E25))</f>
        <v>1.0634795602141347</v>
      </c>
      <c r="G25" s="14">
        <v>1.92</v>
      </c>
      <c r="H25" s="15">
        <f t="shared" si="2"/>
        <v>1.8053943600132778</v>
      </c>
    </row>
    <row r="26" spans="1:8" ht="12.75">
      <c r="A26" s="8">
        <f>Intro!E25</f>
        <v>-20.551181102362207</v>
      </c>
      <c r="B26" s="10">
        <v>1.522</v>
      </c>
      <c r="C26" s="18">
        <f>B26*Intro!$H$49+Intro!$H$51</f>
        <v>29.160080038401475</v>
      </c>
      <c r="D26" s="18">
        <f t="shared" si="0"/>
        <v>49.71126114076368</v>
      </c>
      <c r="E26" s="18">
        <f t="shared" si="1"/>
        <v>60.839919961598525</v>
      </c>
      <c r="F26" s="15">
        <f>$B$1*Intro!$L$13*Intro!$L$14*SIN(RADIANS(E26))</f>
        <v>1.0160103833266705</v>
      </c>
      <c r="G26" s="14">
        <v>2.26</v>
      </c>
      <c r="H26" s="15">
        <f t="shared" si="2"/>
        <v>2.2243867160099273</v>
      </c>
    </row>
    <row r="27" spans="1:8" ht="12.75">
      <c r="A27" s="8">
        <f>Intro!E26</f>
        <v>-26.22047244094489</v>
      </c>
      <c r="B27" s="10">
        <v>1.418</v>
      </c>
      <c r="C27" s="18">
        <f>B27*Intro!$H$49+Intro!$H$51</f>
        <v>14.838493569677354</v>
      </c>
      <c r="D27" s="18">
        <f t="shared" si="0"/>
        <v>41.05896601062224</v>
      </c>
      <c r="E27" s="18">
        <f t="shared" si="1"/>
        <v>75.16150643032265</v>
      </c>
      <c r="F27" s="15">
        <f>$B$1*Intro!$L$13*Intro!$L$14*SIN(RADIANS(E27))</f>
        <v>1.1246662144389599</v>
      </c>
      <c r="G27" s="14">
        <v>1.94</v>
      </c>
      <c r="H27" s="15">
        <f t="shared" si="2"/>
        <v>1.7249562359866653</v>
      </c>
    </row>
    <row r="28" spans="1:8" ht="12.75">
      <c r="A28" s="8">
        <f>Intro!E27</f>
        <v>-30.472440944881896</v>
      </c>
      <c r="B28" s="10">
        <v>1.362</v>
      </c>
      <c r="C28" s="18">
        <f>B28*Intro!$H$49+Intro!$H$51</f>
        <v>7.126870086518238</v>
      </c>
      <c r="D28" s="18">
        <f t="shared" si="0"/>
        <v>37.599311031400134</v>
      </c>
      <c r="E28" s="18">
        <f t="shared" si="1"/>
        <v>82.87312991348176</v>
      </c>
      <c r="F28" s="15">
        <f>$B$1*Intro!$L$13*Intro!$L$14*SIN(RADIANS(E28))</f>
        <v>1.154476902517481</v>
      </c>
      <c r="G28" s="14">
        <v>1.82</v>
      </c>
      <c r="H28" s="15">
        <f t="shared" si="2"/>
        <v>1.5764715569720475</v>
      </c>
    </row>
    <row r="29" spans="1:8" ht="12.75">
      <c r="A29" s="8">
        <f>Intro!E28</f>
        <v>-36.14173228346456</v>
      </c>
      <c r="B29" s="10">
        <v>1.272</v>
      </c>
      <c r="C29" s="18">
        <f>B29*Intro!$H$49+Intro!$H$51</f>
        <v>-5.266810511416139</v>
      </c>
      <c r="D29" s="18">
        <f t="shared" si="0"/>
        <v>30.874921772048424</v>
      </c>
      <c r="E29" s="18">
        <f t="shared" si="1"/>
        <v>95.26681051141614</v>
      </c>
      <c r="F29" s="15">
        <f>$B$1*Intro!$L$13*Intro!$L$14*SIN(RADIANS(E29))</f>
        <v>1.1585538910523563</v>
      </c>
      <c r="G29" s="14">
        <v>1.55</v>
      </c>
      <c r="H29" s="15">
        <f t="shared" si="2"/>
        <v>1.3378747522845735</v>
      </c>
    </row>
    <row r="30" spans="1:8" ht="12.75">
      <c r="A30" s="8">
        <f>Intro!E29</f>
        <v>-40.39370078740157</v>
      </c>
      <c r="B30" s="10">
        <v>1.26</v>
      </c>
      <c r="C30" s="18">
        <f>B30*Intro!$H$49+Intro!$H$51</f>
        <v>-6.919301257807376</v>
      </c>
      <c r="D30" s="18">
        <f t="shared" si="0"/>
        <v>33.474399529594194</v>
      </c>
      <c r="E30" s="18">
        <f t="shared" si="1"/>
        <v>96.91930125780738</v>
      </c>
      <c r="F30" s="15">
        <f>$B$1*Intro!$L$13*Intro!$L$14*SIN(RADIANS(E30))</f>
        <v>1.1549922619314144</v>
      </c>
      <c r="G30" s="14">
        <v>1.66</v>
      </c>
      <c r="H30" s="15">
        <f t="shared" si="2"/>
        <v>1.4372390661943446</v>
      </c>
    </row>
    <row r="31" spans="1:8" ht="12.75">
      <c r="A31" s="8">
        <f>Intro!E30</f>
        <v>-46.062992125984266</v>
      </c>
      <c r="B31" s="10">
        <v>1.188</v>
      </c>
      <c r="C31" s="18">
        <f>B31*Intro!$H$49+Intro!$H$51</f>
        <v>-16.834245736154855</v>
      </c>
      <c r="D31" s="18">
        <f t="shared" si="0"/>
        <v>29.22874638982941</v>
      </c>
      <c r="E31" s="18">
        <f t="shared" si="1"/>
        <v>106.83424573615486</v>
      </c>
      <c r="F31" s="15">
        <f>$B$1*Intro!$L$13*Intro!$L$14*SIN(RADIANS(E31))</f>
        <v>1.1136074935292746</v>
      </c>
      <c r="G31" s="14">
        <v>1.44</v>
      </c>
      <c r="H31" s="15">
        <f t="shared" si="2"/>
        <v>1.2930947469079195</v>
      </c>
    </row>
    <row r="32" spans="1:8" ht="12.75">
      <c r="A32" s="8">
        <f>Intro!E31</f>
        <v>-50.31496062992127</v>
      </c>
      <c r="B32" s="10">
        <v>1.136</v>
      </c>
      <c r="C32" s="18">
        <f>B32*Intro!$H$49+Intro!$H$51</f>
        <v>-23.99503897051693</v>
      </c>
      <c r="D32" s="18">
        <f t="shared" si="0"/>
        <v>26.319921659404343</v>
      </c>
      <c r="E32" s="18">
        <f t="shared" si="1"/>
        <v>113.99503897051693</v>
      </c>
      <c r="F32" s="15">
        <f>$B$1*Intro!$L$13*Intro!$L$14*SIN(RADIANS(E32))</f>
        <v>1.0629200501739962</v>
      </c>
      <c r="G32" s="14">
        <v>1.35</v>
      </c>
      <c r="H32" s="15">
        <f t="shared" si="2"/>
        <v>1.2700861177461182</v>
      </c>
    </row>
    <row r="33" spans="1:8" ht="12.75">
      <c r="A33" s="8">
        <f>Intro!E32</f>
        <v>-55.98425196850394</v>
      </c>
      <c r="B33" s="10">
        <v>1.052</v>
      </c>
      <c r="C33" s="18">
        <f>B33*Intro!$H$49+Intro!$H$51</f>
        <v>-35.56247419525562</v>
      </c>
      <c r="D33" s="18">
        <f t="shared" si="0"/>
        <v>20.421777773248323</v>
      </c>
      <c r="E33" s="18">
        <f t="shared" si="1"/>
        <v>125.56247419525562</v>
      </c>
      <c r="F33" s="15">
        <f>$B$1*Intro!$L$13*Intro!$L$14*SIN(RADIANS(E33))</f>
        <v>0.9464584710612753</v>
      </c>
      <c r="G33" s="14">
        <v>1.09</v>
      </c>
      <c r="H33" s="15">
        <f t="shared" si="2"/>
        <v>1.1516617298356153</v>
      </c>
    </row>
    <row r="34" spans="1:8" ht="12.75">
      <c r="A34" s="8">
        <f>Intro!E33</f>
        <v>-60.23622047244095</v>
      </c>
      <c r="B34" s="10">
        <v>1.02</v>
      </c>
      <c r="C34" s="18">
        <f>B34*Intro!$H$49+Intro!$H$51</f>
        <v>-39.96911618563229</v>
      </c>
      <c r="D34" s="18">
        <f t="shared" si="0"/>
        <v>20.26710428680866</v>
      </c>
      <c r="E34" s="18">
        <f t="shared" si="1"/>
        <v>129.9691161856323</v>
      </c>
      <c r="F34" s="15">
        <f>$B$1*Intro!$L$13*Intro!$L$14*SIN(RADIANS(E34))</f>
        <v>0.8916696500579072</v>
      </c>
      <c r="G34" s="14">
        <v>1.06</v>
      </c>
      <c r="H34" s="15">
        <f t="shared" si="2"/>
        <v>1.188781069234734</v>
      </c>
    </row>
    <row r="35" spans="1:8" ht="12.75">
      <c r="A35" s="8">
        <f>Intro!E34</f>
        <v>-65.90551181102362</v>
      </c>
      <c r="B35" s="10">
        <v>0.943</v>
      </c>
      <c r="C35" s="18">
        <f>B35*Intro!$H$49+Intro!$H$51</f>
        <v>-50.572598474976104</v>
      </c>
      <c r="D35" s="18">
        <f t="shared" si="0"/>
        <v>15.332913336047511</v>
      </c>
      <c r="E35" s="18">
        <f t="shared" si="1"/>
        <v>140.5725984749761</v>
      </c>
      <c r="F35" s="15">
        <f>$B$1*Intro!$L$13*Intro!$L$14*SIN(RADIANS(E35))</f>
        <v>0.7389172542540919</v>
      </c>
      <c r="G35" s="14">
        <v>0.85</v>
      </c>
      <c r="H35" s="15">
        <f t="shared" si="2"/>
        <v>1.1503317795143946</v>
      </c>
    </row>
    <row r="36" spans="1:8" ht="12.75">
      <c r="A36" s="8">
        <f>Intro!E35</f>
        <v>-70.15748031496062</v>
      </c>
      <c r="B36" s="10">
        <v>0.893</v>
      </c>
      <c r="C36" s="18">
        <f>B36*Intro!$H$49+Intro!$H$51</f>
        <v>-57.45797658493963</v>
      </c>
      <c r="D36" s="18">
        <f t="shared" si="0"/>
        <v>12.699503730020993</v>
      </c>
      <c r="E36" s="18">
        <f t="shared" si="1"/>
        <v>147.45797658493962</v>
      </c>
      <c r="F36" s="15">
        <f>$B$1*Intro!$L$13*Intro!$L$14*SIN(RADIANS(E36))</f>
        <v>0.6258493580766351</v>
      </c>
      <c r="G36" s="14">
        <v>0.7</v>
      </c>
      <c r="H36" s="15">
        <f t="shared" si="2"/>
        <v>1.1184800159438448</v>
      </c>
    </row>
    <row r="37" spans="1:8" ht="12.75">
      <c r="A37" s="8">
        <f>Intro!E36</f>
        <v>-75.82677165354332</v>
      </c>
      <c r="B37" s="10">
        <v>0.812</v>
      </c>
      <c r="C37" s="18">
        <f>B37*Intro!$H$49+Intro!$H$51</f>
        <v>-68.61228912308053</v>
      </c>
      <c r="D37" s="18">
        <f t="shared" si="0"/>
        <v>7.214482530462789</v>
      </c>
      <c r="E37" s="18">
        <f t="shared" si="1"/>
        <v>158.61228912308053</v>
      </c>
      <c r="F37" s="15">
        <f>$B$1*Intro!$L$13*Intro!$L$14*SIN(RADIANS(E37))</f>
        <v>0.4242893810288957</v>
      </c>
      <c r="G37" s="14">
        <v>0.45</v>
      </c>
      <c r="H37" s="15">
        <f t="shared" si="2"/>
        <v>1.060596894762618</v>
      </c>
    </row>
    <row r="38" spans="1:8" ht="12.75">
      <c r="A38" s="8">
        <f>Intro!E37</f>
        <v>-80.07874015748033</v>
      </c>
      <c r="B38" s="10">
        <v>0.762</v>
      </c>
      <c r="C38" s="18">
        <f>B38*Intro!$H$49+Intro!$H$51</f>
        <v>-75.49766723304406</v>
      </c>
      <c r="D38" s="18">
        <f t="shared" si="0"/>
        <v>4.5810729244362705</v>
      </c>
      <c r="E38" s="18">
        <f t="shared" si="1"/>
        <v>165.49766723304407</v>
      </c>
      <c r="F38" s="15">
        <f>$B$1*Intro!$L$13*Intro!$L$14*SIN(RADIANS(E38))</f>
        <v>0.29135448260747143</v>
      </c>
      <c r="G38" s="14">
        <v>0.35</v>
      </c>
      <c r="H38" s="15">
        <f t="shared" si="2"/>
        <v>1.2012857906550178</v>
      </c>
    </row>
    <row r="39" spans="1:8" ht="12.75">
      <c r="A39" s="8">
        <f>Intro!E38</f>
        <v>-85.74803149606299</v>
      </c>
      <c r="B39" s="10">
        <v>0.676</v>
      </c>
      <c r="C39" s="18">
        <f>B39*Intro!$H$49+Intro!$H$51</f>
        <v>-87.34051758218132</v>
      </c>
      <c r="D39" s="18">
        <f t="shared" si="0"/>
        <v>1.5924860861183276</v>
      </c>
      <c r="E39" s="18">
        <f t="shared" si="1"/>
        <v>177.34051758218132</v>
      </c>
      <c r="F39" s="15">
        <f>$B$1*Intro!$L$13*Intro!$L$14*SIN(RADIANS(E39))</f>
        <v>0.05398489083246114</v>
      </c>
      <c r="G39" s="14">
        <v>0.01</v>
      </c>
      <c r="H39" s="15">
        <f t="shared" si="2"/>
        <v>0.1852370143904597</v>
      </c>
    </row>
    <row r="40" spans="1:8" ht="12.75">
      <c r="A40" s="8">
        <f>Intro!E39</f>
        <v>-90</v>
      </c>
      <c r="B40" s="10">
        <v>0.645</v>
      </c>
      <c r="C40" s="18">
        <f>B40*Intro!$H$49+Intro!$H$51</f>
        <v>-91.60945201035871</v>
      </c>
      <c r="D40" s="18">
        <f t="shared" si="0"/>
        <v>1.6094520103587087</v>
      </c>
      <c r="E40" s="18">
        <f t="shared" si="1"/>
        <v>181.60945201035872</v>
      </c>
      <c r="F40" s="15">
        <f>$B$1*Intro!$L$13*Intro!$L$14*SIN(RADIANS(E40))</f>
        <v>-0.03267773751896742</v>
      </c>
      <c r="G40" s="14">
        <v>0.01</v>
      </c>
      <c r="H40" s="15">
        <f t="shared" si="2"/>
        <v>-0.3060187381147674</v>
      </c>
    </row>
    <row r="42" spans="4:5" ht="12.75">
      <c r="D42" s="1" t="s">
        <v>28</v>
      </c>
      <c r="E42" s="6"/>
    </row>
    <row r="43" spans="4:5" ht="12.75">
      <c r="D43" s="19">
        <f>MAX(D4:D40)</f>
        <v>49.71126114076368</v>
      </c>
      <c r="E43" s="21"/>
    </row>
  </sheetData>
  <mergeCells count="1">
    <mergeCell ref="D1:F1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14" sqref="E14"/>
    </sheetView>
  </sheetViews>
  <sheetFormatPr defaultColWidth="9.140625" defaultRowHeight="12.75"/>
  <cols>
    <col min="1" max="1" width="12.7109375" style="0" bestFit="1" customWidth="1"/>
    <col min="4" max="4" width="13.7109375" style="0" bestFit="1" customWidth="1"/>
    <col min="5" max="5" width="17.57421875" style="0" bestFit="1" customWidth="1"/>
    <col min="6" max="6" width="9.00390625" style="0" bestFit="1" customWidth="1"/>
  </cols>
  <sheetData>
    <row r="1" spans="1:6" ht="12.75">
      <c r="A1" s="20" t="s">
        <v>45</v>
      </c>
      <c r="B1" s="24">
        <f>Intro!L24+Intro!L23</f>
        <v>1.3980000000000001</v>
      </c>
      <c r="D1" s="42" t="s">
        <v>53</v>
      </c>
      <c r="E1" s="42"/>
      <c r="F1" s="42"/>
    </row>
    <row r="2" spans="2:5" ht="12.75">
      <c r="B2" s="7"/>
      <c r="C2" s="7"/>
      <c r="D2" s="7"/>
      <c r="E2" s="7"/>
    </row>
    <row r="3" spans="1:8" ht="12.75">
      <c r="A3" s="4" t="s">
        <v>27</v>
      </c>
      <c r="B3" s="9" t="s">
        <v>15</v>
      </c>
      <c r="C3" s="13" t="s">
        <v>18</v>
      </c>
      <c r="D3" s="13" t="s">
        <v>10</v>
      </c>
      <c r="E3" s="13" t="s">
        <v>33</v>
      </c>
      <c r="F3" s="13" t="s">
        <v>34</v>
      </c>
      <c r="G3" s="9" t="s">
        <v>35</v>
      </c>
      <c r="H3" s="13" t="s">
        <v>37</v>
      </c>
    </row>
    <row r="4" spans="1:8" ht="12.75">
      <c r="A4" s="8">
        <f>Intro!E3</f>
        <v>90</v>
      </c>
      <c r="B4" s="10">
        <v>1.946</v>
      </c>
      <c r="C4" s="18">
        <f>B4*Intro!$H$49+Intro!$H$51</f>
        <v>87.54808641089215</v>
      </c>
      <c r="D4" s="18">
        <f>ABS(A4-C4)</f>
        <v>2.4519135891078463</v>
      </c>
      <c r="E4" s="18">
        <f>90-C4</f>
        <v>2.4519135891078463</v>
      </c>
      <c r="F4" s="15">
        <f>$B$1*Intro!$L$13*Intro!$L$14*SIN(RADIANS(E4))</f>
        <v>0.05867135838220873</v>
      </c>
      <c r="G4" s="14">
        <v>0.01</v>
      </c>
      <c r="H4" s="15">
        <f>G4/F4</f>
        <v>0.17044091488143148</v>
      </c>
    </row>
    <row r="5" spans="1:8" ht="12.75">
      <c r="A5" s="8">
        <f>Intro!E4</f>
        <v>84.33070866141732</v>
      </c>
      <c r="B5" s="10">
        <v>1.945</v>
      </c>
      <c r="C5" s="18">
        <f>B5*Intro!$H$49+Intro!$H$51</f>
        <v>87.41037884869291</v>
      </c>
      <c r="D5" s="18">
        <f aca="true" t="shared" si="0" ref="D5:D40">ABS(A5-C5)</f>
        <v>3.079670187275596</v>
      </c>
      <c r="E5" s="18">
        <f aca="true" t="shared" si="1" ref="E5:E40">90-C5</f>
        <v>2.5896211513070853</v>
      </c>
      <c r="F5" s="15">
        <f>$B$1*Intro!$L$13*Intro!$L$14*SIN(RADIANS(E5))</f>
        <v>0.061964351185911</v>
      </c>
      <c r="G5" s="14">
        <v>0.31</v>
      </c>
      <c r="H5" s="15">
        <f aca="true" t="shared" si="2" ref="H5:H40">G5/F5</f>
        <v>5.002876558328033</v>
      </c>
    </row>
    <row r="6" spans="1:8" ht="12.75">
      <c r="A6" s="8">
        <f>Intro!E5</f>
        <v>78.66141732283465</v>
      </c>
      <c r="B6" s="10">
        <v>1.932</v>
      </c>
      <c r="C6" s="18">
        <f>B6*Intro!$H$49+Intro!$H$51</f>
        <v>85.62018054010235</v>
      </c>
      <c r="D6" s="18">
        <f t="shared" si="0"/>
        <v>6.958763217267702</v>
      </c>
      <c r="E6" s="18">
        <f t="shared" si="1"/>
        <v>4.3798194598976465</v>
      </c>
      <c r="F6" s="15">
        <f>$B$1*Intro!$L$13*Intro!$L$14*SIN(RADIANS(E6))</f>
        <v>0.10473376402974634</v>
      </c>
      <c r="G6" s="14">
        <v>0.48</v>
      </c>
      <c r="H6" s="15">
        <f t="shared" si="2"/>
        <v>4.583049262544131</v>
      </c>
    </row>
    <row r="7" spans="1:8" ht="12.75">
      <c r="A7" s="8">
        <f>Intro!E6</f>
        <v>74.40944881889763</v>
      </c>
      <c r="B7" s="10">
        <v>1.92</v>
      </c>
      <c r="C7" s="18">
        <f>B7*Intro!$H$49+Intro!$H$51</f>
        <v>83.96768979371114</v>
      </c>
      <c r="D7" s="18">
        <f t="shared" si="0"/>
        <v>9.558240974813515</v>
      </c>
      <c r="E7" s="18">
        <f t="shared" si="1"/>
        <v>6.032310206288855</v>
      </c>
      <c r="F7" s="15">
        <f>$B$1*Intro!$L$13*Intro!$L$14*SIN(RADIANS(E7))</f>
        <v>0.14412342771870973</v>
      </c>
      <c r="G7" s="14">
        <v>0.61</v>
      </c>
      <c r="H7" s="15">
        <f t="shared" si="2"/>
        <v>4.232483293351559</v>
      </c>
    </row>
    <row r="8" spans="1:8" ht="12.75">
      <c r="A8" s="8">
        <f>Intro!E7</f>
        <v>68.74015748031496</v>
      </c>
      <c r="B8" s="10">
        <v>1.907</v>
      </c>
      <c r="C8" s="18">
        <f>B8*Intro!$H$49+Intro!$H$51</f>
        <v>82.17749148512064</v>
      </c>
      <c r="D8" s="18">
        <f t="shared" si="0"/>
        <v>13.437334004805678</v>
      </c>
      <c r="E8" s="18">
        <f t="shared" si="1"/>
        <v>7.82250851487936</v>
      </c>
      <c r="F8" s="15">
        <f>$B$1*Intro!$L$13*Intro!$L$14*SIN(RADIANS(E8))</f>
        <v>0.18665926035705047</v>
      </c>
      <c r="G8" s="14">
        <v>0.8</v>
      </c>
      <c r="H8" s="15">
        <f t="shared" si="2"/>
        <v>4.285884335284106</v>
      </c>
    </row>
    <row r="9" spans="1:8" ht="12.75">
      <c r="A9" s="8">
        <f>Intro!E8</f>
        <v>64.48818897637796</v>
      </c>
      <c r="B9" s="10">
        <v>1.9</v>
      </c>
      <c r="C9" s="18">
        <f>B9*Intro!$H$49+Intro!$H$51</f>
        <v>81.21353854972568</v>
      </c>
      <c r="D9" s="18">
        <f t="shared" si="0"/>
        <v>16.725349573347728</v>
      </c>
      <c r="E9" s="18">
        <f t="shared" si="1"/>
        <v>8.786461450274317</v>
      </c>
      <c r="F9" s="15">
        <f>$B$1*Intro!$L$13*Intro!$L$14*SIN(RADIANS(E9))</f>
        <v>0.20949033800407846</v>
      </c>
      <c r="G9" s="14">
        <v>0.94</v>
      </c>
      <c r="H9" s="15">
        <f t="shared" si="2"/>
        <v>4.48708044941767</v>
      </c>
    </row>
    <row r="10" spans="1:8" ht="12.75">
      <c r="A10" s="8">
        <f>Intro!E9</f>
        <v>58.818897637795274</v>
      </c>
      <c r="B10" s="10">
        <v>1.88</v>
      </c>
      <c r="C10" s="18">
        <f>B10*Intro!$H$49+Intro!$H$51</f>
        <v>78.45938730574028</v>
      </c>
      <c r="D10" s="18">
        <f t="shared" si="0"/>
        <v>19.640489667945005</v>
      </c>
      <c r="E10" s="18">
        <f t="shared" si="1"/>
        <v>11.540612694259721</v>
      </c>
      <c r="F10" s="15">
        <f>$B$1*Intro!$L$13*Intro!$L$14*SIN(RADIANS(E10))</f>
        <v>0.2743732869408836</v>
      </c>
      <c r="G10" s="14">
        <v>1.1</v>
      </c>
      <c r="H10" s="15">
        <f t="shared" si="2"/>
        <v>4.00913664833926</v>
      </c>
    </row>
    <row r="11" spans="1:8" ht="12.75">
      <c r="A11" s="8">
        <f>Intro!E10</f>
        <v>54.56692913385827</v>
      </c>
      <c r="B11" s="10">
        <v>1.857</v>
      </c>
      <c r="C11" s="18">
        <f>B11*Intro!$H$49+Intro!$H$51</f>
        <v>75.29211337515707</v>
      </c>
      <c r="D11" s="18">
        <f t="shared" si="0"/>
        <v>20.725184241298805</v>
      </c>
      <c r="E11" s="18">
        <f t="shared" si="1"/>
        <v>14.707886624842928</v>
      </c>
      <c r="F11" s="15">
        <f>$B$1*Intro!$L$13*Intro!$L$14*SIN(RADIANS(E11))</f>
        <v>0.3481958807831415</v>
      </c>
      <c r="G11" s="14">
        <v>1.15</v>
      </c>
      <c r="H11" s="15">
        <f t="shared" si="2"/>
        <v>3.3027386694336767</v>
      </c>
    </row>
    <row r="12" spans="1:8" ht="12.75">
      <c r="A12" s="8">
        <f>Intro!E11</f>
        <v>48.89763779527559</v>
      </c>
      <c r="B12" s="10">
        <v>1.847</v>
      </c>
      <c r="C12" s="18">
        <f>B12*Intro!$H$49+Intro!$H$51</f>
        <v>73.91503775316437</v>
      </c>
      <c r="D12" s="18">
        <f t="shared" si="0"/>
        <v>25.017399957888777</v>
      </c>
      <c r="E12" s="18">
        <f t="shared" si="1"/>
        <v>16.08496224683563</v>
      </c>
      <c r="F12" s="15">
        <f>$B$1*Intro!$L$13*Intro!$L$14*SIN(RADIANS(E12))</f>
        <v>0.37997401246681994</v>
      </c>
      <c r="G12" s="14">
        <v>1.34</v>
      </c>
      <c r="H12" s="15">
        <f t="shared" si="2"/>
        <v>3.526556964516123</v>
      </c>
    </row>
    <row r="13" spans="1:8" ht="12.75">
      <c r="A13" s="8">
        <f>Intro!E12</f>
        <v>44.645669291338585</v>
      </c>
      <c r="B13" s="10">
        <v>1.849</v>
      </c>
      <c r="C13" s="18">
        <f>B13*Intro!$H$49+Intro!$H$51</f>
        <v>74.19045287756293</v>
      </c>
      <c r="D13" s="18">
        <f t="shared" si="0"/>
        <v>29.544783586224348</v>
      </c>
      <c r="E13" s="18">
        <f t="shared" si="1"/>
        <v>15.809547122437067</v>
      </c>
      <c r="F13" s="15">
        <f>$B$1*Intro!$L$13*Intro!$L$14*SIN(RADIANS(E13))</f>
        <v>0.37363535923483093</v>
      </c>
      <c r="G13" s="14">
        <v>1.54</v>
      </c>
      <c r="H13" s="15">
        <f t="shared" si="2"/>
        <v>4.121665580992578</v>
      </c>
    </row>
    <row r="14" spans="1:8" ht="12.75">
      <c r="A14" s="8">
        <f>Intro!E13</f>
        <v>38.976377952755904</v>
      </c>
      <c r="B14" s="10">
        <v>1.816</v>
      </c>
      <c r="C14" s="18">
        <f>B14*Intro!$H$49+Intro!$H$51</f>
        <v>69.646103324987</v>
      </c>
      <c r="D14" s="18">
        <f t="shared" si="0"/>
        <v>30.669725372231092</v>
      </c>
      <c r="E14" s="18">
        <f t="shared" si="1"/>
        <v>20.353896675013004</v>
      </c>
      <c r="F14" s="15">
        <f>$B$1*Intro!$L$13*Intro!$L$14*SIN(RADIANS(E14))</f>
        <v>0.47701047406283714</v>
      </c>
      <c r="G14" s="14">
        <v>1.57</v>
      </c>
      <c r="H14" s="15">
        <f t="shared" si="2"/>
        <v>3.2913323404156154</v>
      </c>
    </row>
    <row r="15" spans="1:8" ht="12.75">
      <c r="A15" s="8">
        <f>Intro!E14</f>
        <v>34.724409448818896</v>
      </c>
      <c r="B15" s="10">
        <v>1.828</v>
      </c>
      <c r="C15" s="18">
        <f>B15*Intro!$H$49+Intro!$H$51</f>
        <v>71.29859407137826</v>
      </c>
      <c r="D15" s="18">
        <f t="shared" si="0"/>
        <v>36.574184622559365</v>
      </c>
      <c r="E15" s="18">
        <f t="shared" si="1"/>
        <v>18.70140592862174</v>
      </c>
      <c r="F15" s="15">
        <f>$B$1*Intro!$L$13*Intro!$L$14*SIN(RADIANS(E15))</f>
        <v>0.43973271440659045</v>
      </c>
      <c r="G15" s="14">
        <v>1.83</v>
      </c>
      <c r="H15" s="15">
        <f t="shared" si="2"/>
        <v>4.161618956346117</v>
      </c>
    </row>
    <row r="16" spans="1:8" ht="12.75">
      <c r="A16" s="8">
        <f>Intro!E15</f>
        <v>29.055118110236222</v>
      </c>
      <c r="B16" s="10">
        <v>1.823</v>
      </c>
      <c r="C16" s="18">
        <f>B16*Intro!$H$49+Intro!$H$51</f>
        <v>70.6100562603819</v>
      </c>
      <c r="D16" s="18">
        <f t="shared" si="0"/>
        <v>41.554938150145674</v>
      </c>
      <c r="E16" s="18">
        <f t="shared" si="1"/>
        <v>19.389943739618104</v>
      </c>
      <c r="F16" s="15">
        <f>$B$1*Intro!$L$13*Intro!$L$14*SIN(RADIANS(E16))</f>
        <v>0.45531135037818826</v>
      </c>
      <c r="G16" s="14">
        <v>2.02</v>
      </c>
      <c r="H16" s="15">
        <f t="shared" si="2"/>
        <v>4.436524585477956</v>
      </c>
    </row>
    <row r="17" spans="1:8" ht="12.75">
      <c r="A17" s="8">
        <f>Intro!E16</f>
        <v>24.803149606299215</v>
      </c>
      <c r="B17" s="10">
        <v>1.77</v>
      </c>
      <c r="C17" s="18">
        <f>B17*Intro!$H$49+Intro!$H$51</f>
        <v>63.311555463820554</v>
      </c>
      <c r="D17" s="18">
        <f t="shared" si="0"/>
        <v>38.50840585752134</v>
      </c>
      <c r="E17" s="18">
        <f t="shared" si="1"/>
        <v>26.688444536179446</v>
      </c>
      <c r="F17" s="15">
        <f>$B$1*Intro!$L$13*Intro!$L$14*SIN(RADIANS(E17))</f>
        <v>0.6159660361665754</v>
      </c>
      <c r="G17" s="14">
        <v>1.89</v>
      </c>
      <c r="H17" s="15">
        <f t="shared" si="2"/>
        <v>3.068350995068319</v>
      </c>
    </row>
    <row r="18" spans="1:8" ht="12.75">
      <c r="A18" s="8">
        <f>Intro!E17</f>
        <v>19.133858267716533</v>
      </c>
      <c r="B18" s="10">
        <v>1.778</v>
      </c>
      <c r="C18" s="18">
        <f>B18*Intro!$H$49+Intro!$H$51</f>
        <v>64.41321596141472</v>
      </c>
      <c r="D18" s="18">
        <f t="shared" si="0"/>
        <v>45.27935769369819</v>
      </c>
      <c r="E18" s="18">
        <f t="shared" si="1"/>
        <v>25.58678403858528</v>
      </c>
      <c r="F18" s="15">
        <f>$B$1*Intro!$L$13*Intro!$L$14*SIN(RADIANS(E18))</f>
        <v>0.5922935148862006</v>
      </c>
      <c r="G18" s="14">
        <v>2.14</v>
      </c>
      <c r="H18" s="15">
        <f t="shared" si="2"/>
        <v>3.6130734951760624</v>
      </c>
    </row>
    <row r="19" spans="1:8" ht="12.75">
      <c r="A19" s="8">
        <f>Intro!E18</f>
        <v>14.881889763779526</v>
      </c>
      <c r="B19" s="10">
        <v>1.809</v>
      </c>
      <c r="C19" s="18">
        <f>B19*Intro!$H$49+Intro!$H$51</f>
        <v>68.6821503895921</v>
      </c>
      <c r="D19" s="18">
        <f t="shared" si="0"/>
        <v>53.80026062581257</v>
      </c>
      <c r="E19" s="18">
        <f t="shared" si="1"/>
        <v>21.317849610407904</v>
      </c>
      <c r="F19" s="15">
        <f>$B$1*Intro!$L$13*Intro!$L$14*SIN(RADIANS(E19))</f>
        <v>0.4985745821114144</v>
      </c>
      <c r="G19" s="14">
        <v>2.46</v>
      </c>
      <c r="H19" s="15">
        <f t="shared" si="2"/>
        <v>4.934066212485485</v>
      </c>
    </row>
    <row r="20" spans="1:8" ht="12.75">
      <c r="A20" s="8">
        <f>Intro!E19</f>
        <v>9.212598425196845</v>
      </c>
      <c r="B20" s="10">
        <v>1.8</v>
      </c>
      <c r="C20" s="18">
        <f>B20*Intro!$H$49+Intro!$H$51</f>
        <v>67.44278232979869</v>
      </c>
      <c r="D20" s="18">
        <f t="shared" si="0"/>
        <v>58.230183904601844</v>
      </c>
      <c r="E20" s="18">
        <f t="shared" si="1"/>
        <v>22.55721767020131</v>
      </c>
      <c r="F20" s="15">
        <f>$B$1*Intro!$L$13*Intro!$L$14*SIN(RADIANS(E20))</f>
        <v>0.5260916553899894</v>
      </c>
      <c r="G20" s="14">
        <v>2.61</v>
      </c>
      <c r="H20" s="15">
        <f t="shared" si="2"/>
        <v>4.961112713459062</v>
      </c>
    </row>
    <row r="21" spans="1:8" ht="12.75">
      <c r="A21" s="8">
        <f>Intro!E20</f>
        <v>4.960629921259837</v>
      </c>
      <c r="B21" s="10">
        <v>1.79</v>
      </c>
      <c r="C21" s="18">
        <f>B21*Intro!$H$49+Intro!$H$51</f>
        <v>66.06570670780596</v>
      </c>
      <c r="D21" s="18">
        <f t="shared" si="0"/>
        <v>61.10507678654612</v>
      </c>
      <c r="E21" s="18">
        <f t="shared" si="1"/>
        <v>23.93429329219404</v>
      </c>
      <c r="F21" s="15">
        <f>$B$1*Intro!$L$13*Intro!$L$14*SIN(RADIANS(E21))</f>
        <v>0.5563769314211339</v>
      </c>
      <c r="G21" s="14">
        <v>2.57</v>
      </c>
      <c r="H21" s="15">
        <f t="shared" si="2"/>
        <v>4.619170664455012</v>
      </c>
    </row>
    <row r="22" spans="1:8" ht="12.75">
      <c r="A22" s="8">
        <f>Intro!E21</f>
        <v>-0.7086614173228298</v>
      </c>
      <c r="B22" s="10">
        <v>1.794</v>
      </c>
      <c r="C22" s="18">
        <f>B22*Intro!$H$49+Intro!$H$51</f>
        <v>66.61653695660306</v>
      </c>
      <c r="D22" s="18">
        <f t="shared" si="0"/>
        <v>67.32519837392589</v>
      </c>
      <c r="E22" s="18">
        <f t="shared" si="1"/>
        <v>23.383463043396944</v>
      </c>
      <c r="F22" s="15">
        <f>$B$1*Intro!$L$13*Intro!$L$14*SIN(RADIANS(E22))</f>
        <v>0.5443004109846468</v>
      </c>
      <c r="G22" s="14">
        <v>2.58</v>
      </c>
      <c r="H22" s="15">
        <f t="shared" si="2"/>
        <v>4.740029490943697</v>
      </c>
    </row>
    <row r="23" spans="1:8" ht="12.75">
      <c r="A23" s="8">
        <f>Intro!E22</f>
        <v>-6.377952755905511</v>
      </c>
      <c r="B23" s="10">
        <v>1.809</v>
      </c>
      <c r="C23" s="18">
        <f>B23*Intro!$H$49+Intro!$H$51</f>
        <v>68.6821503895921</v>
      </c>
      <c r="D23" s="18">
        <f t="shared" si="0"/>
        <v>75.0601031454976</v>
      </c>
      <c r="E23" s="18">
        <f t="shared" si="1"/>
        <v>21.317849610407904</v>
      </c>
      <c r="F23" s="15">
        <f>$B$1*Intro!$L$13*Intro!$L$14*SIN(RADIANS(E23))</f>
        <v>0.4985745821114144</v>
      </c>
      <c r="G23" s="14">
        <v>2.71</v>
      </c>
      <c r="H23" s="15">
        <f t="shared" si="2"/>
        <v>5.435495705624254</v>
      </c>
    </row>
    <row r="24" spans="1:8" ht="12.75">
      <c r="A24" s="8">
        <f>Intro!E23</f>
        <v>-10.629921259842519</v>
      </c>
      <c r="B24" s="10">
        <v>1.809</v>
      </c>
      <c r="C24" s="18">
        <f>B24*Intro!$H$49+Intro!$H$51</f>
        <v>68.6821503895921</v>
      </c>
      <c r="D24" s="18">
        <f t="shared" si="0"/>
        <v>79.31207164943461</v>
      </c>
      <c r="E24" s="18">
        <f t="shared" si="1"/>
        <v>21.317849610407904</v>
      </c>
      <c r="F24" s="15">
        <f>$B$1*Intro!$L$13*Intro!$L$14*SIN(RADIANS(E24))</f>
        <v>0.4985745821114144</v>
      </c>
      <c r="G24" s="14">
        <v>2.7</v>
      </c>
      <c r="H24" s="15">
        <f t="shared" si="2"/>
        <v>5.415438525898703</v>
      </c>
    </row>
    <row r="25" spans="1:8" ht="12.75">
      <c r="A25" s="8">
        <f>Intro!E24</f>
        <v>-16.2992125984252</v>
      </c>
      <c r="B25" s="10">
        <v>1.807</v>
      </c>
      <c r="C25" s="18">
        <f>B25*Intro!$H$49+Intro!$H$51</f>
        <v>68.40673526519356</v>
      </c>
      <c r="D25" s="18">
        <f t="shared" si="0"/>
        <v>84.70594786361876</v>
      </c>
      <c r="E25" s="18">
        <f t="shared" si="1"/>
        <v>21.59326473480644</v>
      </c>
      <c r="F25" s="15">
        <f>$B$1*Intro!$L$13*Intro!$L$14*SIN(RADIANS(E25))</f>
        <v>0.5047101019146419</v>
      </c>
      <c r="G25" s="14">
        <v>2.69</v>
      </c>
      <c r="H25" s="15">
        <f t="shared" si="2"/>
        <v>5.32979227044467</v>
      </c>
    </row>
    <row r="26" spans="1:8" ht="12.75">
      <c r="A26" s="8">
        <f>Intro!E25</f>
        <v>-20.551181102362207</v>
      </c>
      <c r="B26" s="10">
        <v>1.806</v>
      </c>
      <c r="C26" s="18">
        <f>B26*Intro!$H$49+Intro!$H$51</f>
        <v>68.2690277029943</v>
      </c>
      <c r="D26" s="18">
        <f t="shared" si="0"/>
        <v>88.8202088053565</v>
      </c>
      <c r="E26" s="18">
        <f t="shared" si="1"/>
        <v>21.730972297005707</v>
      </c>
      <c r="F26" s="15">
        <f>$B$1*Intro!$L$13*Intro!$L$14*SIN(RADIANS(E26))</f>
        <v>0.5077734974321226</v>
      </c>
      <c r="G26" s="14">
        <v>2.68</v>
      </c>
      <c r="H26" s="15">
        <f t="shared" si="2"/>
        <v>5.277943834314144</v>
      </c>
    </row>
    <row r="27" spans="1:8" ht="12.75">
      <c r="A27" s="8">
        <f>Intro!E26</f>
        <v>-26.22047244094489</v>
      </c>
      <c r="B27" s="10">
        <v>1.804</v>
      </c>
      <c r="C27" s="18">
        <f>B27*Intro!$H$49+Intro!$H$51</f>
        <v>67.99361257859576</v>
      </c>
      <c r="D27" s="18">
        <f t="shared" si="0"/>
        <v>94.21408501954065</v>
      </c>
      <c r="E27" s="18">
        <f t="shared" si="1"/>
        <v>22.00638742140424</v>
      </c>
      <c r="F27" s="15">
        <f>$B$1*Intro!$L$13*Intro!$L$14*SIN(RADIANS(E27))</f>
        <v>0.5138914712193134</v>
      </c>
      <c r="G27" s="14">
        <v>2.66</v>
      </c>
      <c r="H27" s="15">
        <f t="shared" si="2"/>
        <v>5.176190205470042</v>
      </c>
    </row>
    <row r="28" spans="1:8" ht="12.75">
      <c r="A28" s="8">
        <f>Intro!E27</f>
        <v>-30.472440944881896</v>
      </c>
      <c r="B28" s="10">
        <v>1.803</v>
      </c>
      <c r="C28" s="18">
        <f>B28*Intro!$H$49+Intro!$H$51</f>
        <v>67.85590501639646</v>
      </c>
      <c r="D28" s="18">
        <f t="shared" si="0"/>
        <v>98.32834596127836</v>
      </c>
      <c r="E28" s="18">
        <f t="shared" si="1"/>
        <v>22.144094983603537</v>
      </c>
      <c r="F28" s="15">
        <f>$B$1*Intro!$L$13*Intro!$L$14*SIN(RADIANS(E28))</f>
        <v>0.5169460141481149</v>
      </c>
      <c r="G28" s="14">
        <v>2.65</v>
      </c>
      <c r="H28" s="15">
        <f t="shared" si="2"/>
        <v>5.126260629684872</v>
      </c>
    </row>
    <row r="29" spans="1:8" ht="12.75">
      <c r="A29" s="8">
        <f>Intro!E28</f>
        <v>-36.14173228346456</v>
      </c>
      <c r="B29" s="10">
        <v>1.8</v>
      </c>
      <c r="C29" s="18">
        <f>B29*Intro!$H$49+Intro!$H$51</f>
        <v>67.44278232979869</v>
      </c>
      <c r="D29" s="18">
        <f t="shared" si="0"/>
        <v>103.58451461326325</v>
      </c>
      <c r="E29" s="18">
        <f t="shared" si="1"/>
        <v>22.55721767020131</v>
      </c>
      <c r="F29" s="15">
        <f>$B$1*Intro!$L$13*Intro!$L$14*SIN(RADIANS(E29))</f>
        <v>0.5260916553899894</v>
      </c>
      <c r="G29" s="14">
        <v>2.64</v>
      </c>
      <c r="H29" s="15">
        <f t="shared" si="2"/>
        <v>5.01813699752181</v>
      </c>
    </row>
    <row r="30" spans="1:8" ht="12.75">
      <c r="A30" s="8">
        <f>Intro!E29</f>
        <v>-40.39370078740157</v>
      </c>
      <c r="B30" s="10">
        <v>1.793</v>
      </c>
      <c r="C30" s="18">
        <f>B30*Intro!$H$49+Intro!$H$51</f>
        <v>66.47882939440376</v>
      </c>
      <c r="D30" s="18">
        <f t="shared" si="0"/>
        <v>106.87253018180533</v>
      </c>
      <c r="E30" s="18">
        <f t="shared" si="1"/>
        <v>23.52117060559624</v>
      </c>
      <c r="F30" s="15">
        <f>$B$1*Intro!$L$13*Intro!$L$14*SIN(RADIANS(E30))</f>
        <v>0.5473243010250564</v>
      </c>
      <c r="G30" s="14">
        <v>2.57</v>
      </c>
      <c r="H30" s="15">
        <f t="shared" si="2"/>
        <v>4.69557078899434</v>
      </c>
    </row>
    <row r="31" spans="1:8" ht="12.75">
      <c r="A31" s="8">
        <f>Intro!E30</f>
        <v>-46.062992125984266</v>
      </c>
      <c r="B31" s="10">
        <v>1.791</v>
      </c>
      <c r="C31" s="18">
        <f>B31*Intro!$H$49+Intro!$H$51</f>
        <v>66.20341427000523</v>
      </c>
      <c r="D31" s="18">
        <f t="shared" si="0"/>
        <v>112.26640639598949</v>
      </c>
      <c r="E31" s="18">
        <f t="shared" si="1"/>
        <v>23.796585729994774</v>
      </c>
      <c r="F31" s="15">
        <f>$B$1*Intro!$L$13*Intro!$L$14*SIN(RADIANS(E31))</f>
        <v>0.5533625786835691</v>
      </c>
      <c r="G31" s="14">
        <v>2.57</v>
      </c>
      <c r="H31" s="15">
        <f t="shared" si="2"/>
        <v>4.644332846131271</v>
      </c>
    </row>
    <row r="32" spans="1:8" ht="12.75">
      <c r="A32" s="8">
        <f>Intro!E31</f>
        <v>-50.31496062992127</v>
      </c>
      <c r="B32" s="10">
        <v>1.79</v>
      </c>
      <c r="C32" s="18">
        <f>B32*Intro!$H$49+Intro!$H$51</f>
        <v>66.06570670780596</v>
      </c>
      <c r="D32" s="18">
        <f t="shared" si="0"/>
        <v>116.38066733772723</v>
      </c>
      <c r="E32" s="18">
        <f t="shared" si="1"/>
        <v>23.93429329219404</v>
      </c>
      <c r="F32" s="15">
        <f>$B$1*Intro!$L$13*Intro!$L$14*SIN(RADIANS(E32))</f>
        <v>0.5563769314211339</v>
      </c>
      <c r="G32" s="14">
        <v>2.56</v>
      </c>
      <c r="H32" s="15">
        <f t="shared" si="2"/>
        <v>4.601197237745072</v>
      </c>
    </row>
    <row r="33" spans="1:8" ht="12.75">
      <c r="A33" s="8">
        <f>Intro!E32</f>
        <v>-55.98425196850394</v>
      </c>
      <c r="B33" s="10">
        <v>1.79</v>
      </c>
      <c r="C33" s="18">
        <f>B33*Intro!$H$49+Intro!$H$51</f>
        <v>66.06570670780596</v>
      </c>
      <c r="D33" s="18">
        <f t="shared" si="0"/>
        <v>122.0499586763099</v>
      </c>
      <c r="E33" s="18">
        <f t="shared" si="1"/>
        <v>23.93429329219404</v>
      </c>
      <c r="F33" s="15">
        <f>$B$1*Intro!$L$13*Intro!$L$14*SIN(RADIANS(E33))</f>
        <v>0.5563769314211339</v>
      </c>
      <c r="G33" s="14">
        <v>2.55</v>
      </c>
      <c r="H33" s="15">
        <f t="shared" si="2"/>
        <v>4.583223811035129</v>
      </c>
    </row>
    <row r="34" spans="1:8" ht="12.75">
      <c r="A34" s="8">
        <f>Intro!E33</f>
        <v>-60.23622047244095</v>
      </c>
      <c r="B34" s="10">
        <v>1.793</v>
      </c>
      <c r="C34" s="18">
        <f>B34*Intro!$H$49+Intro!$H$51</f>
        <v>66.47882939440376</v>
      </c>
      <c r="D34" s="18">
        <f t="shared" si="0"/>
        <v>126.71504986684471</v>
      </c>
      <c r="E34" s="18">
        <f t="shared" si="1"/>
        <v>23.52117060559624</v>
      </c>
      <c r="F34" s="15">
        <f>$B$1*Intro!$L$13*Intro!$L$14*SIN(RADIANS(E34))</f>
        <v>0.5473243010250564</v>
      </c>
      <c r="G34" s="14">
        <v>2.59</v>
      </c>
      <c r="H34" s="15">
        <f t="shared" si="2"/>
        <v>4.732112195912585</v>
      </c>
    </row>
    <row r="35" spans="1:8" ht="12.75">
      <c r="A35" s="8">
        <f>Intro!E34</f>
        <v>-65.90551181102362</v>
      </c>
      <c r="B35" s="10">
        <v>1.827</v>
      </c>
      <c r="C35" s="18">
        <f>B35*Intro!$H$49+Intro!$H$51</f>
        <v>71.16088650917897</v>
      </c>
      <c r="D35" s="18">
        <f t="shared" si="0"/>
        <v>137.06639832020258</v>
      </c>
      <c r="E35" s="18">
        <f t="shared" si="1"/>
        <v>18.839113490821035</v>
      </c>
      <c r="F35" s="15">
        <f>$B$1*Intro!$L$13*Intro!$L$14*SIN(RADIANS(E35))</f>
        <v>0.442853593962765</v>
      </c>
      <c r="G35" s="14">
        <v>2.78</v>
      </c>
      <c r="H35" s="15">
        <f t="shared" si="2"/>
        <v>6.277469660173383</v>
      </c>
    </row>
    <row r="36" spans="1:8" ht="12.75">
      <c r="A36" s="8">
        <f>Intro!E35</f>
        <v>-70.15748031496062</v>
      </c>
      <c r="B36" s="10">
        <v>1.805</v>
      </c>
      <c r="C36" s="18">
        <f>B36*Intro!$H$49+Intro!$H$51</f>
        <v>68.13132014079503</v>
      </c>
      <c r="D36" s="18">
        <f t="shared" si="0"/>
        <v>138.28880045575565</v>
      </c>
      <c r="E36" s="18">
        <f t="shared" si="1"/>
        <v>21.868679859204974</v>
      </c>
      <c r="F36" s="15">
        <f>$B$1*Intro!$L$13*Intro!$L$14*SIN(RADIANS(E36))</f>
        <v>0.5108339597600057</v>
      </c>
      <c r="G36" s="14">
        <v>2.66</v>
      </c>
      <c r="H36" s="15">
        <f t="shared" si="2"/>
        <v>5.2071714285590796</v>
      </c>
    </row>
    <row r="37" spans="1:8" ht="12.75">
      <c r="A37" s="8">
        <f>Intro!E36</f>
        <v>-75.82677165354332</v>
      </c>
      <c r="B37" s="10">
        <v>1.806</v>
      </c>
      <c r="C37" s="18">
        <f>B37*Intro!$H$49+Intro!$H$51</f>
        <v>68.2690277029943</v>
      </c>
      <c r="D37" s="18">
        <f t="shared" si="0"/>
        <v>144.0957993565376</v>
      </c>
      <c r="E37" s="18">
        <f t="shared" si="1"/>
        <v>21.730972297005707</v>
      </c>
      <c r="F37" s="15">
        <f>$B$1*Intro!$L$13*Intro!$L$14*SIN(RADIANS(E37))</f>
        <v>0.5077734974321226</v>
      </c>
      <c r="G37" s="14">
        <v>2.69</v>
      </c>
      <c r="H37" s="15">
        <f t="shared" si="2"/>
        <v>5.297637654591434</v>
      </c>
    </row>
    <row r="38" spans="1:8" ht="12.75">
      <c r="A38" s="8">
        <f>Intro!E37</f>
        <v>-80.07874015748033</v>
      </c>
      <c r="B38" s="10">
        <v>1.806</v>
      </c>
      <c r="C38" s="18">
        <f>B38*Intro!$H$49+Intro!$H$51</f>
        <v>68.2690277029943</v>
      </c>
      <c r="D38" s="18">
        <f t="shared" si="0"/>
        <v>148.34776786047462</v>
      </c>
      <c r="E38" s="18">
        <f t="shared" si="1"/>
        <v>21.730972297005707</v>
      </c>
      <c r="F38" s="15">
        <f>$B$1*Intro!$L$13*Intro!$L$14*SIN(RADIANS(E38))</f>
        <v>0.5077734974321226</v>
      </c>
      <c r="G38" s="14">
        <v>2.68</v>
      </c>
      <c r="H38" s="15">
        <f t="shared" si="2"/>
        <v>5.277943834314144</v>
      </c>
    </row>
    <row r="39" spans="1:8" ht="12.75">
      <c r="A39" s="8">
        <f>Intro!E38</f>
        <v>-85.74803149606299</v>
      </c>
      <c r="B39" s="10">
        <v>1.805</v>
      </c>
      <c r="C39" s="18">
        <f>B39*Intro!$H$49+Intro!$H$51</f>
        <v>68.13132014079503</v>
      </c>
      <c r="D39" s="18">
        <f t="shared" si="0"/>
        <v>153.87935163685802</v>
      </c>
      <c r="E39" s="18">
        <f t="shared" si="1"/>
        <v>21.868679859204974</v>
      </c>
      <c r="F39" s="15">
        <f>$B$1*Intro!$L$13*Intro!$L$14*SIN(RADIANS(E39))</f>
        <v>0.5108339597600057</v>
      </c>
      <c r="G39" s="14">
        <v>2.69</v>
      </c>
      <c r="H39" s="15">
        <f t="shared" si="2"/>
        <v>5.265898925873655</v>
      </c>
    </row>
    <row r="40" spans="1:8" ht="12.75">
      <c r="A40" s="8">
        <f>Intro!E39</f>
        <v>-90</v>
      </c>
      <c r="B40" s="10">
        <v>1.804</v>
      </c>
      <c r="C40" s="18">
        <f>B40*Intro!$H$49+Intro!$H$51</f>
        <v>67.99361257859576</v>
      </c>
      <c r="D40" s="18">
        <f t="shared" si="0"/>
        <v>157.99361257859576</v>
      </c>
      <c r="E40" s="18">
        <f t="shared" si="1"/>
        <v>22.00638742140424</v>
      </c>
      <c r="F40" s="15">
        <f>$B$1*Intro!$L$13*Intro!$L$14*SIN(RADIANS(E40))</f>
        <v>0.5138914712193134</v>
      </c>
      <c r="G40" s="14">
        <v>2.69</v>
      </c>
      <c r="H40" s="15">
        <f t="shared" si="2"/>
        <v>5.234568290494139</v>
      </c>
    </row>
    <row r="42" spans="4:5" ht="12.75">
      <c r="D42" s="1" t="s">
        <v>28</v>
      </c>
      <c r="E42" s="6"/>
    </row>
    <row r="43" spans="4:5" ht="12.75">
      <c r="D43" s="19">
        <f>MAX(D4:D40)</f>
        <v>157.99361257859576</v>
      </c>
      <c r="E43" s="21"/>
    </row>
  </sheetData>
  <mergeCells count="1">
    <mergeCell ref="D1:F1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46" sqref="H46"/>
    </sheetView>
  </sheetViews>
  <sheetFormatPr defaultColWidth="9.140625" defaultRowHeight="12.75"/>
  <cols>
    <col min="1" max="16384" width="9.140625" style="11" customWidth="1"/>
  </cols>
  <sheetData>
    <row r="1" spans="1:8" ht="12.75">
      <c r="A1" s="38"/>
      <c r="B1" s="38"/>
      <c r="C1" s="38"/>
      <c r="D1" s="38"/>
      <c r="E1" s="38"/>
      <c r="F1" s="38"/>
      <c r="G1" s="38"/>
      <c r="H1" s="38"/>
    </row>
    <row r="2" spans="1:8" ht="12.75">
      <c r="A2" s="38"/>
      <c r="B2" s="43" t="s">
        <v>54</v>
      </c>
      <c r="C2" s="43"/>
      <c r="D2" s="43"/>
      <c r="E2" s="38"/>
      <c r="F2" s="38"/>
      <c r="G2" s="38"/>
      <c r="H2" s="38"/>
    </row>
    <row r="3" spans="1:8" ht="12.75">
      <c r="A3" s="38"/>
      <c r="B3" s="38"/>
      <c r="C3" s="38"/>
      <c r="D3" s="38"/>
      <c r="E3" s="38"/>
      <c r="F3" s="38"/>
      <c r="G3" s="38"/>
      <c r="H3" s="38"/>
    </row>
    <row r="4" spans="1:8" ht="12.75">
      <c r="A4" s="38"/>
      <c r="B4" s="38"/>
      <c r="C4" s="38"/>
      <c r="D4" s="38"/>
      <c r="E4" s="38"/>
      <c r="F4" s="38"/>
      <c r="G4" s="38"/>
      <c r="H4" s="38"/>
    </row>
    <row r="5" spans="1:8" ht="12.75">
      <c r="A5" s="38"/>
      <c r="B5" s="38"/>
      <c r="C5" s="38"/>
      <c r="D5" s="38"/>
      <c r="E5" s="38"/>
      <c r="F5" s="38"/>
      <c r="G5" s="38"/>
      <c r="H5" s="38"/>
    </row>
    <row r="6" spans="1:8" ht="12.75">
      <c r="A6" s="38"/>
      <c r="B6" s="38"/>
      <c r="C6" s="38"/>
      <c r="D6" s="38"/>
      <c r="E6" s="38"/>
      <c r="F6" s="38"/>
      <c r="G6" s="38"/>
      <c r="H6" s="38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8" ht="12.75">
      <c r="A8" s="38"/>
      <c r="B8" s="38"/>
      <c r="C8" s="38"/>
      <c r="D8" s="38"/>
      <c r="E8" s="38"/>
      <c r="F8" s="38"/>
      <c r="G8" s="38"/>
      <c r="H8" s="38"/>
    </row>
    <row r="9" spans="1:8" ht="12.75">
      <c r="A9" s="38"/>
      <c r="B9" s="38"/>
      <c r="C9" s="38"/>
      <c r="D9" s="38"/>
      <c r="E9" s="38"/>
      <c r="F9" s="38"/>
      <c r="G9" s="38"/>
      <c r="H9" s="38"/>
    </row>
    <row r="10" spans="1:8" ht="12.75">
      <c r="A10" s="38"/>
      <c r="B10" s="38"/>
      <c r="C10" s="38"/>
      <c r="D10" s="38"/>
      <c r="E10" s="38"/>
      <c r="F10" s="38"/>
      <c r="G10" s="38"/>
      <c r="H10" s="38"/>
    </row>
    <row r="11" spans="1:8" ht="12.75">
      <c r="A11" s="38"/>
      <c r="B11" s="38"/>
      <c r="C11" s="38"/>
      <c r="D11" s="38"/>
      <c r="E11" s="38"/>
      <c r="F11" s="38"/>
      <c r="G11" s="38"/>
      <c r="H11" s="38"/>
    </row>
    <row r="12" spans="1:8" ht="12.75">
      <c r="A12" s="38"/>
      <c r="B12" s="38"/>
      <c r="C12" s="38"/>
      <c r="D12" s="38"/>
      <c r="E12" s="38"/>
      <c r="F12" s="38"/>
      <c r="G12" s="38"/>
      <c r="H12" s="38"/>
    </row>
    <row r="13" spans="1:8" ht="12.75">
      <c r="A13" s="38"/>
      <c r="B13" s="38"/>
      <c r="C13" s="38"/>
      <c r="D13" s="38"/>
      <c r="E13" s="38"/>
      <c r="F13" s="38"/>
      <c r="G13" s="38"/>
      <c r="H13" s="38"/>
    </row>
    <row r="14" spans="1:8" ht="12.75">
      <c r="A14" s="38"/>
      <c r="B14" s="38"/>
      <c r="C14" s="38"/>
      <c r="D14" s="38"/>
      <c r="E14" s="38"/>
      <c r="F14" s="38"/>
      <c r="G14" s="38"/>
      <c r="H14" s="38"/>
    </row>
    <row r="15" spans="1:8" ht="12.75">
      <c r="A15" s="38"/>
      <c r="B15" s="38"/>
      <c r="C15" s="38"/>
      <c r="D15" s="38"/>
      <c r="E15" s="38"/>
      <c r="F15" s="38"/>
      <c r="G15" s="38"/>
      <c r="H15" s="38"/>
    </row>
    <row r="16" spans="1:8" ht="12.75">
      <c r="A16" s="38"/>
      <c r="B16" s="38"/>
      <c r="C16" s="38"/>
      <c r="D16" s="38"/>
      <c r="E16" s="38"/>
      <c r="F16" s="38"/>
      <c r="G16" s="38"/>
      <c r="H16" s="38"/>
    </row>
    <row r="17" spans="1:8" ht="12.75">
      <c r="A17" s="38"/>
      <c r="B17" s="38"/>
      <c r="C17" s="38"/>
      <c r="D17" s="38"/>
      <c r="E17" s="38"/>
      <c r="F17" s="38"/>
      <c r="G17" s="38"/>
      <c r="H17" s="38"/>
    </row>
    <row r="18" spans="1:8" ht="12.75">
      <c r="A18" s="38"/>
      <c r="B18" s="38"/>
      <c r="C18" s="38"/>
      <c r="D18" s="38"/>
      <c r="E18" s="38"/>
      <c r="F18" s="38"/>
      <c r="G18" s="38"/>
      <c r="H18" s="38"/>
    </row>
    <row r="19" spans="1:8" ht="12.75">
      <c r="A19" s="38"/>
      <c r="B19" s="38"/>
      <c r="C19" s="38"/>
      <c r="D19" s="38"/>
      <c r="E19" s="38"/>
      <c r="F19" s="38"/>
      <c r="G19" s="38"/>
      <c r="H19" s="38"/>
    </row>
    <row r="20" spans="1:8" ht="12.75">
      <c r="A20" s="38"/>
      <c r="B20" s="38"/>
      <c r="C20" s="38"/>
      <c r="D20" s="38"/>
      <c r="E20" s="38"/>
      <c r="F20" s="38"/>
      <c r="G20" s="38"/>
      <c r="H20" s="38"/>
    </row>
    <row r="21" spans="1:8" ht="12.75">
      <c r="A21" s="38"/>
      <c r="B21" s="38"/>
      <c r="C21" s="38"/>
      <c r="D21" s="38"/>
      <c r="E21" s="38"/>
      <c r="F21" s="38"/>
      <c r="G21" s="38"/>
      <c r="H21" s="38"/>
    </row>
    <row r="22" spans="1:8" ht="12.75">
      <c r="A22" s="38"/>
      <c r="B22" s="38"/>
      <c r="C22" s="38"/>
      <c r="D22" s="38"/>
      <c r="E22" s="38"/>
      <c r="F22" s="38"/>
      <c r="G22" s="38"/>
      <c r="H22" s="38"/>
    </row>
    <row r="23" spans="1:8" ht="12.75">
      <c r="A23" s="38"/>
      <c r="B23" s="38"/>
      <c r="C23" s="38"/>
      <c r="D23" s="38"/>
      <c r="E23" s="38"/>
      <c r="F23" s="38"/>
      <c r="G23" s="38"/>
      <c r="H23" s="38"/>
    </row>
    <row r="24" spans="1:8" ht="12.75">
      <c r="A24" s="38"/>
      <c r="B24" s="38"/>
      <c r="C24" s="38"/>
      <c r="D24" s="38"/>
      <c r="E24" s="38"/>
      <c r="F24" s="38"/>
      <c r="G24" s="38"/>
      <c r="H24" s="38"/>
    </row>
    <row r="25" spans="1:8" ht="12.75">
      <c r="A25" s="38"/>
      <c r="B25" s="38"/>
      <c r="C25" s="38"/>
      <c r="D25" s="38"/>
      <c r="E25" s="38"/>
      <c r="F25" s="38"/>
      <c r="G25" s="38"/>
      <c r="H25" s="38"/>
    </row>
    <row r="26" spans="1:8" ht="12.75">
      <c r="A26" s="38"/>
      <c r="B26" s="38"/>
      <c r="C26" s="38"/>
      <c r="D26" s="38"/>
      <c r="E26" s="38"/>
      <c r="F26" s="38"/>
      <c r="G26" s="38"/>
      <c r="H26" s="38"/>
    </row>
    <row r="27" spans="1:8" ht="12.75">
      <c r="A27" s="38"/>
      <c r="B27" s="38"/>
      <c r="C27" s="38"/>
      <c r="D27" s="38"/>
      <c r="E27" s="38"/>
      <c r="F27" s="38"/>
      <c r="G27" s="38"/>
      <c r="H27" s="38"/>
    </row>
    <row r="28" spans="1:8" ht="12.75">
      <c r="A28" s="38"/>
      <c r="B28" s="38"/>
      <c r="C28" s="38"/>
      <c r="D28" s="38"/>
      <c r="E28" s="38"/>
      <c r="F28" s="38"/>
      <c r="G28" s="38"/>
      <c r="H28" s="38"/>
    </row>
    <row r="29" spans="1:8" ht="12.75">
      <c r="A29" s="38"/>
      <c r="B29" s="38"/>
      <c r="C29" s="38"/>
      <c r="D29" s="38"/>
      <c r="E29" s="38"/>
      <c r="F29" s="38"/>
      <c r="G29" s="38"/>
      <c r="H29" s="38"/>
    </row>
    <row r="30" spans="1:8" ht="12.75">
      <c r="A30" s="38"/>
      <c r="B30" s="38"/>
      <c r="C30" s="38"/>
      <c r="D30" s="38"/>
      <c r="E30" s="38"/>
      <c r="F30" s="38"/>
      <c r="G30" s="38"/>
      <c r="H30" s="38"/>
    </row>
    <row r="31" spans="1:8" ht="12.75">
      <c r="A31" s="38"/>
      <c r="B31" s="38"/>
      <c r="C31" s="38"/>
      <c r="D31" s="38"/>
      <c r="E31" s="38"/>
      <c r="F31" s="38"/>
      <c r="G31" s="38"/>
      <c r="H31" s="38"/>
    </row>
    <row r="32" spans="1:8" ht="12.75">
      <c r="A32" s="38"/>
      <c r="B32" s="38"/>
      <c r="C32" s="38"/>
      <c r="D32" s="38"/>
      <c r="E32" s="38"/>
      <c r="F32" s="38"/>
      <c r="G32" s="38"/>
      <c r="H32" s="38"/>
    </row>
    <row r="33" spans="1:8" ht="12.75">
      <c r="A33" s="38"/>
      <c r="B33" s="38"/>
      <c r="C33" s="38"/>
      <c r="D33" s="38"/>
      <c r="E33" s="38"/>
      <c r="F33" s="38"/>
      <c r="G33" s="38"/>
      <c r="H33" s="38"/>
    </row>
    <row r="34" spans="1:8" ht="12.75">
      <c r="A34" s="38"/>
      <c r="B34" s="38"/>
      <c r="C34" s="38"/>
      <c r="D34" s="38"/>
      <c r="E34" s="38"/>
      <c r="F34" s="38"/>
      <c r="G34" s="38"/>
      <c r="H34" s="38"/>
    </row>
    <row r="35" spans="1:8" ht="12.75">
      <c r="A35" s="38"/>
      <c r="B35" s="38"/>
      <c r="C35" s="38"/>
      <c r="D35" s="38"/>
      <c r="E35" s="38"/>
      <c r="F35" s="38"/>
      <c r="G35" s="38"/>
      <c r="H35" s="38"/>
    </row>
    <row r="36" spans="1:8" ht="12.75">
      <c r="A36" s="38"/>
      <c r="B36" s="38"/>
      <c r="C36" s="38"/>
      <c r="D36" s="38"/>
      <c r="E36" s="38"/>
      <c r="F36" s="38"/>
      <c r="G36" s="38"/>
      <c r="H36" s="38"/>
    </row>
    <row r="37" spans="1:8" ht="12.75">
      <c r="A37" s="38"/>
      <c r="B37" s="38"/>
      <c r="C37" s="38"/>
      <c r="D37" s="38"/>
      <c r="E37" s="38"/>
      <c r="F37" s="38"/>
      <c r="G37" s="38"/>
      <c r="H37" s="38"/>
    </row>
    <row r="38" spans="1:8" ht="12.75">
      <c r="A38" s="38"/>
      <c r="B38" s="38"/>
      <c r="C38" s="38"/>
      <c r="D38" s="38"/>
      <c r="E38" s="38"/>
      <c r="F38" s="38"/>
      <c r="G38" s="38"/>
      <c r="H38" s="38"/>
    </row>
    <row r="39" spans="1:8" ht="12.75">
      <c r="A39" s="38"/>
      <c r="B39" s="38"/>
      <c r="C39" s="38"/>
      <c r="D39" s="38"/>
      <c r="E39" s="38"/>
      <c r="F39" s="38"/>
      <c r="G39" s="38"/>
      <c r="H39" s="38"/>
    </row>
    <row r="40" spans="1:8" ht="12.75">
      <c r="A40" s="38"/>
      <c r="B40" s="38"/>
      <c r="C40" s="38"/>
      <c r="D40" s="38"/>
      <c r="E40" s="38"/>
      <c r="F40" s="38"/>
      <c r="G40" s="38"/>
      <c r="H40" s="38"/>
    </row>
    <row r="41" spans="1:8" ht="12.75">
      <c r="A41" s="38"/>
      <c r="B41" s="38"/>
      <c r="C41" s="38"/>
      <c r="D41" s="38"/>
      <c r="E41" s="38"/>
      <c r="F41" s="38"/>
      <c r="G41" s="38"/>
      <c r="H41" s="38"/>
    </row>
    <row r="42" spans="1:8" ht="12.75">
      <c r="A42" s="38"/>
      <c r="B42" s="38"/>
      <c r="C42" s="38"/>
      <c r="D42" s="38"/>
      <c r="E42" s="38"/>
      <c r="F42" s="38"/>
      <c r="G42" s="38"/>
      <c r="H42" s="38"/>
    </row>
    <row r="43" spans="1:8" ht="12.75">
      <c r="A43" s="38"/>
      <c r="B43" s="38"/>
      <c r="C43" s="38"/>
      <c r="D43" s="38"/>
      <c r="E43" s="38"/>
      <c r="F43" s="38"/>
      <c r="G43" s="38"/>
      <c r="H43" s="38"/>
    </row>
    <row r="44" spans="1:8" ht="12.75">
      <c r="A44" s="38"/>
      <c r="B44" s="38"/>
      <c r="C44" s="38"/>
      <c r="D44" s="38"/>
      <c r="E44" s="38"/>
      <c r="F44" s="38"/>
      <c r="G44" s="38"/>
      <c r="H44" s="38"/>
    </row>
    <row r="45" spans="1:8" ht="12.75">
      <c r="A45" s="38"/>
      <c r="B45" s="38"/>
      <c r="C45" s="38"/>
      <c r="D45" s="38"/>
      <c r="E45" s="38"/>
      <c r="F45" s="38"/>
      <c r="G45" s="38"/>
      <c r="H45" s="38"/>
    </row>
  </sheetData>
  <mergeCells count="1">
    <mergeCell ref="B2:D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Ruas da Silva</dc:creator>
  <cp:keywords/>
  <dc:description/>
  <cp:lastModifiedBy>Milton Ruas da Silva</cp:lastModifiedBy>
  <dcterms:created xsi:type="dcterms:W3CDTF">2005-11-03T15:14:55Z</dcterms:created>
  <dcterms:modified xsi:type="dcterms:W3CDTF">2005-11-07T20:24:19Z</dcterms:modified>
  <cp:category/>
  <cp:version/>
  <cp:contentType/>
  <cp:contentStatus/>
</cp:coreProperties>
</file>