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825" activeTab="8"/>
  </bookViews>
  <sheets>
    <sheet name="1ªPosição" sheetId="1" r:id="rId1"/>
    <sheet name="2ªPosição" sheetId="2" r:id="rId2"/>
    <sheet name="3ªPosição" sheetId="3" r:id="rId3"/>
    <sheet name="4ªPosição" sheetId="4" r:id="rId4"/>
    <sheet name="5ªPosição" sheetId="5" r:id="rId5"/>
    <sheet name="6ªPosição" sheetId="6" r:id="rId6"/>
    <sheet name="7ªPosição" sheetId="7" r:id="rId7"/>
    <sheet name="8ªPosição" sheetId="8" r:id="rId8"/>
    <sheet name="9ªPosição" sheetId="9" r:id="rId9"/>
  </sheets>
  <calcPr calcId="125725"/>
</workbook>
</file>

<file path=xl/calcChain.xml><?xml version="1.0" encoding="utf-8"?>
<calcChain xmlns="http://schemas.openxmlformats.org/spreadsheetml/2006/main">
  <c r="H57" i="9"/>
  <c r="H54"/>
  <c r="H51"/>
  <c r="H48"/>
  <c r="H45"/>
  <c r="F57"/>
  <c r="F54"/>
  <c r="F51"/>
  <c r="F48"/>
  <c r="F45"/>
  <c r="H42"/>
  <c r="F42"/>
  <c r="H31" i="7"/>
  <c r="B29"/>
  <c r="A29"/>
  <c r="P37" i="9"/>
  <c r="J35"/>
  <c r="I35"/>
  <c r="J32"/>
  <c r="I32"/>
  <c r="J29"/>
  <c r="I29"/>
  <c r="J26"/>
  <c r="I26"/>
  <c r="J23"/>
  <c r="I23"/>
  <c r="A35"/>
  <c r="B35"/>
  <c r="B32"/>
  <c r="A32"/>
  <c r="B29"/>
  <c r="A29"/>
  <c r="B26"/>
  <c r="A26"/>
  <c r="B23"/>
  <c r="G23" s="1"/>
  <c r="A23"/>
  <c r="P18"/>
  <c r="J13"/>
  <c r="I13"/>
  <c r="J10"/>
  <c r="I10"/>
  <c r="J7"/>
  <c r="I7"/>
  <c r="I4"/>
  <c r="J4"/>
  <c r="A16"/>
  <c r="B16"/>
  <c r="B13"/>
  <c r="A13"/>
  <c r="B10"/>
  <c r="A10"/>
  <c r="B7"/>
  <c r="A7"/>
  <c r="B4"/>
  <c r="A4"/>
  <c r="E57"/>
  <c r="G57"/>
  <c r="C57"/>
  <c r="E54"/>
  <c r="G54"/>
  <c r="E51"/>
  <c r="G51"/>
  <c r="C51"/>
  <c r="E48"/>
  <c r="G48"/>
  <c r="E45"/>
  <c r="G45"/>
  <c r="C45"/>
  <c r="E42"/>
  <c r="G42"/>
  <c r="M35"/>
  <c r="O35"/>
  <c r="K35"/>
  <c r="N35" s="1"/>
  <c r="P35" s="1"/>
  <c r="E35"/>
  <c r="G35"/>
  <c r="M32"/>
  <c r="O32"/>
  <c r="K32"/>
  <c r="N32" s="1"/>
  <c r="P32" s="1"/>
  <c r="E32"/>
  <c r="G32"/>
  <c r="M29"/>
  <c r="O29"/>
  <c r="K29"/>
  <c r="N29" s="1"/>
  <c r="P29" s="1"/>
  <c r="E29"/>
  <c r="G29"/>
  <c r="M26"/>
  <c r="O26"/>
  <c r="K26"/>
  <c r="N26" s="1"/>
  <c r="P26" s="1"/>
  <c r="E26"/>
  <c r="G26"/>
  <c r="M23"/>
  <c r="O23"/>
  <c r="K23"/>
  <c r="N23" s="1"/>
  <c r="P23" s="1"/>
  <c r="E23"/>
  <c r="E16"/>
  <c r="G16"/>
  <c r="C16"/>
  <c r="F16" s="1"/>
  <c r="M13"/>
  <c r="O13"/>
  <c r="K13"/>
  <c r="E13"/>
  <c r="G13"/>
  <c r="C13"/>
  <c r="F13" s="1"/>
  <c r="M10"/>
  <c r="O10"/>
  <c r="K10"/>
  <c r="E10"/>
  <c r="G10"/>
  <c r="C10"/>
  <c r="F10" s="1"/>
  <c r="M7"/>
  <c r="O7"/>
  <c r="K7"/>
  <c r="E7"/>
  <c r="G7"/>
  <c r="C7"/>
  <c r="F7" s="1"/>
  <c r="M4"/>
  <c r="O4"/>
  <c r="K4"/>
  <c r="E4"/>
  <c r="G4"/>
  <c r="H59" i="8"/>
  <c r="A57"/>
  <c r="B57"/>
  <c r="B54"/>
  <c r="C54" s="1"/>
  <c r="A54"/>
  <c r="E57"/>
  <c r="G57"/>
  <c r="C57"/>
  <c r="E54"/>
  <c r="G54"/>
  <c r="B51"/>
  <c r="A51"/>
  <c r="E51"/>
  <c r="G51"/>
  <c r="B48"/>
  <c r="A48"/>
  <c r="C48" s="1"/>
  <c r="E48"/>
  <c r="G48"/>
  <c r="B45"/>
  <c r="G45" s="1"/>
  <c r="A45"/>
  <c r="E45"/>
  <c r="C45"/>
  <c r="B42"/>
  <c r="A42"/>
  <c r="P37"/>
  <c r="I35"/>
  <c r="J35"/>
  <c r="B35"/>
  <c r="C35" s="1"/>
  <c r="A35"/>
  <c r="M35"/>
  <c r="O35"/>
  <c r="K35"/>
  <c r="E35"/>
  <c r="G35"/>
  <c r="J32"/>
  <c r="O32" s="1"/>
  <c r="I32"/>
  <c r="J29"/>
  <c r="I29"/>
  <c r="I26"/>
  <c r="J26"/>
  <c r="I23"/>
  <c r="J23"/>
  <c r="M32"/>
  <c r="M29"/>
  <c r="O29"/>
  <c r="K29"/>
  <c r="M26"/>
  <c r="O26"/>
  <c r="K26"/>
  <c r="N26" s="1"/>
  <c r="M23"/>
  <c r="O23"/>
  <c r="K23"/>
  <c r="A32"/>
  <c r="B32"/>
  <c r="B29"/>
  <c r="A29"/>
  <c r="B26"/>
  <c r="A26"/>
  <c r="B23"/>
  <c r="A23"/>
  <c r="J16"/>
  <c r="O16" s="1"/>
  <c r="I16"/>
  <c r="K16"/>
  <c r="M16"/>
  <c r="N16"/>
  <c r="J13"/>
  <c r="I10"/>
  <c r="J10"/>
  <c r="I7"/>
  <c r="K7" s="1"/>
  <c r="N7" s="1"/>
  <c r="P7" s="1"/>
  <c r="J7"/>
  <c r="I4"/>
  <c r="J4"/>
  <c r="B16"/>
  <c r="C16" s="1"/>
  <c r="A16"/>
  <c r="E16"/>
  <c r="I13"/>
  <c r="K13" s="1"/>
  <c r="N13" s="1"/>
  <c r="P13" s="1"/>
  <c r="A13"/>
  <c r="B13"/>
  <c r="G13" s="1"/>
  <c r="A10"/>
  <c r="B10"/>
  <c r="A7"/>
  <c r="B7"/>
  <c r="A4"/>
  <c r="B4"/>
  <c r="M13"/>
  <c r="O13"/>
  <c r="M10"/>
  <c r="O10"/>
  <c r="K10"/>
  <c r="M7"/>
  <c r="O7"/>
  <c r="M4"/>
  <c r="O4"/>
  <c r="K4"/>
  <c r="E42"/>
  <c r="G42"/>
  <c r="E32"/>
  <c r="G32"/>
  <c r="C32"/>
  <c r="E29"/>
  <c r="G29"/>
  <c r="C29"/>
  <c r="F29" s="1"/>
  <c r="E26"/>
  <c r="G26"/>
  <c r="C26"/>
  <c r="E23"/>
  <c r="G23"/>
  <c r="C23"/>
  <c r="F23" s="1"/>
  <c r="E13"/>
  <c r="C13"/>
  <c r="F13" s="1"/>
  <c r="E10"/>
  <c r="G10"/>
  <c r="C10"/>
  <c r="E7"/>
  <c r="G7"/>
  <c r="C7"/>
  <c r="F7" s="1"/>
  <c r="E4"/>
  <c r="G4"/>
  <c r="C4"/>
  <c r="B13" i="7"/>
  <c r="A13"/>
  <c r="E13"/>
  <c r="G13"/>
  <c r="E36"/>
  <c r="B36"/>
  <c r="G36" s="1"/>
  <c r="A36"/>
  <c r="E29"/>
  <c r="G29"/>
  <c r="C29"/>
  <c r="E26"/>
  <c r="B26"/>
  <c r="G26" s="1"/>
  <c r="A26"/>
  <c r="E23"/>
  <c r="B23"/>
  <c r="G23" s="1"/>
  <c r="A23"/>
  <c r="C23" s="1"/>
  <c r="E20"/>
  <c r="B20"/>
  <c r="G20" s="1"/>
  <c r="A20"/>
  <c r="E10"/>
  <c r="B10"/>
  <c r="G10" s="1"/>
  <c r="A10"/>
  <c r="C10" s="1"/>
  <c r="E7"/>
  <c r="B7"/>
  <c r="G7" s="1"/>
  <c r="A7"/>
  <c r="E4"/>
  <c r="B4"/>
  <c r="G4" s="1"/>
  <c r="A4"/>
  <c r="C4" s="1"/>
  <c r="B36" i="6"/>
  <c r="A36"/>
  <c r="F10" i="2"/>
  <c r="F7"/>
  <c r="F4"/>
  <c r="B10"/>
  <c r="B7"/>
  <c r="B4"/>
  <c r="B26"/>
  <c r="B23"/>
  <c r="B20"/>
  <c r="F13"/>
  <c r="H29"/>
  <c r="A23" i="4"/>
  <c r="C23" s="1"/>
  <c r="F23" s="1"/>
  <c r="E23"/>
  <c r="B23"/>
  <c r="G23" s="1"/>
  <c r="F23" i="5"/>
  <c r="A23"/>
  <c r="C23"/>
  <c r="E23"/>
  <c r="B23"/>
  <c r="G23" s="1"/>
  <c r="E36" i="6"/>
  <c r="F36" s="1"/>
  <c r="G36"/>
  <c r="C36"/>
  <c r="E11" i="1"/>
  <c r="E4"/>
  <c r="F11"/>
  <c r="H11" s="1"/>
  <c r="H13" s="1"/>
  <c r="A4"/>
  <c r="B11"/>
  <c r="B4"/>
  <c r="G11"/>
  <c r="G4"/>
  <c r="C4"/>
  <c r="B29" i="6"/>
  <c r="G29" s="1"/>
  <c r="A29"/>
  <c r="B26"/>
  <c r="G26" s="1"/>
  <c r="A26"/>
  <c r="B23"/>
  <c r="A23"/>
  <c r="B20"/>
  <c r="C20" s="1"/>
  <c r="A20"/>
  <c r="B4"/>
  <c r="B10"/>
  <c r="B7"/>
  <c r="A4"/>
  <c r="C4" s="1"/>
  <c r="F4" s="1"/>
  <c r="A7"/>
  <c r="C7" s="1"/>
  <c r="A10"/>
  <c r="C10" s="1"/>
  <c r="F10" s="1"/>
  <c r="A13"/>
  <c r="B13"/>
  <c r="E29"/>
  <c r="F29" s="1"/>
  <c r="C29"/>
  <c r="E26"/>
  <c r="F26" s="1"/>
  <c r="E23"/>
  <c r="F23" s="1"/>
  <c r="H23" s="1"/>
  <c r="G23"/>
  <c r="C23"/>
  <c r="E20"/>
  <c r="F20" s="1"/>
  <c r="H20" s="1"/>
  <c r="G20"/>
  <c r="E13"/>
  <c r="G13"/>
  <c r="C13"/>
  <c r="F13" s="1"/>
  <c r="E10"/>
  <c r="G10"/>
  <c r="E7"/>
  <c r="F7" s="1"/>
  <c r="G7"/>
  <c r="E4"/>
  <c r="G4"/>
  <c r="A4" i="5"/>
  <c r="A7"/>
  <c r="A10"/>
  <c r="A13"/>
  <c r="A16"/>
  <c r="C16" s="1"/>
  <c r="E16"/>
  <c r="B16"/>
  <c r="G16" s="1"/>
  <c r="E13"/>
  <c r="B13"/>
  <c r="G13" s="1"/>
  <c r="C13"/>
  <c r="F13" s="1"/>
  <c r="H13" s="1"/>
  <c r="E10"/>
  <c r="B10"/>
  <c r="G10" s="1"/>
  <c r="C10"/>
  <c r="E7"/>
  <c r="B7"/>
  <c r="G7" s="1"/>
  <c r="C7"/>
  <c r="F7" s="1"/>
  <c r="H7" s="1"/>
  <c r="E4"/>
  <c r="B4"/>
  <c r="G4" s="1"/>
  <c r="C4"/>
  <c r="H18" i="4"/>
  <c r="A16"/>
  <c r="B16"/>
  <c r="E16"/>
  <c r="G16"/>
  <c r="A13"/>
  <c r="B13"/>
  <c r="B10"/>
  <c r="A10"/>
  <c r="E13"/>
  <c r="G13"/>
  <c r="A7"/>
  <c r="B7"/>
  <c r="G7" s="1"/>
  <c r="A4"/>
  <c r="B4"/>
  <c r="E10"/>
  <c r="G10"/>
  <c r="E7"/>
  <c r="C7"/>
  <c r="E4"/>
  <c r="G4"/>
  <c r="F10" i="3"/>
  <c r="F7"/>
  <c r="F4"/>
  <c r="C10"/>
  <c r="C7"/>
  <c r="C4"/>
  <c r="F26"/>
  <c r="F23"/>
  <c r="F20"/>
  <c r="H20" s="1"/>
  <c r="F17"/>
  <c r="H17"/>
  <c r="C26"/>
  <c r="A26"/>
  <c r="B26"/>
  <c r="C23"/>
  <c r="A23"/>
  <c r="B23"/>
  <c r="C20"/>
  <c r="A20"/>
  <c r="B20"/>
  <c r="C17"/>
  <c r="A17"/>
  <c r="B17"/>
  <c r="E26"/>
  <c r="G26"/>
  <c r="E23"/>
  <c r="G23"/>
  <c r="E20"/>
  <c r="G20"/>
  <c r="E17"/>
  <c r="G17"/>
  <c r="A10"/>
  <c r="B10"/>
  <c r="B7"/>
  <c r="A7"/>
  <c r="B4"/>
  <c r="A4"/>
  <c r="E4"/>
  <c r="G4"/>
  <c r="E10"/>
  <c r="G10"/>
  <c r="E7"/>
  <c r="G7"/>
  <c r="B29" i="2"/>
  <c r="F26"/>
  <c r="G26"/>
  <c r="F23"/>
  <c r="F20"/>
  <c r="E29"/>
  <c r="F29" s="1"/>
  <c r="G29"/>
  <c r="E26"/>
  <c r="E23"/>
  <c r="G23"/>
  <c r="E20"/>
  <c r="G20"/>
  <c r="E13"/>
  <c r="G13"/>
  <c r="E10"/>
  <c r="G10"/>
  <c r="E7"/>
  <c r="G7"/>
  <c r="G4"/>
  <c r="E4"/>
  <c r="C36" i="7" l="1"/>
  <c r="C4" i="9"/>
  <c r="F4" s="1"/>
  <c r="C23"/>
  <c r="F23" s="1"/>
  <c r="H23" s="1"/>
  <c r="C26"/>
  <c r="F26" s="1"/>
  <c r="H26" s="1"/>
  <c r="C29"/>
  <c r="F29" s="1"/>
  <c r="H29" s="1"/>
  <c r="C32"/>
  <c r="F32" s="1"/>
  <c r="H32" s="1"/>
  <c r="C35"/>
  <c r="F35" s="1"/>
  <c r="H35" s="1"/>
  <c r="C42"/>
  <c r="C48"/>
  <c r="C54"/>
  <c r="N4"/>
  <c r="P4" s="1"/>
  <c r="N7"/>
  <c r="P7" s="1"/>
  <c r="N10"/>
  <c r="P10" s="1"/>
  <c r="N13"/>
  <c r="P13" s="1"/>
  <c r="H4"/>
  <c r="H7"/>
  <c r="H10"/>
  <c r="H13"/>
  <c r="H16"/>
  <c r="F54" i="8"/>
  <c r="H54" s="1"/>
  <c r="F57"/>
  <c r="H57" s="1"/>
  <c r="C51"/>
  <c r="F51" s="1"/>
  <c r="H51" s="1"/>
  <c r="F48"/>
  <c r="H48" s="1"/>
  <c r="F45"/>
  <c r="H45" s="1"/>
  <c r="N35"/>
  <c r="P35" s="1"/>
  <c r="F35"/>
  <c r="H35" s="1"/>
  <c r="K32"/>
  <c r="N32" s="1"/>
  <c r="P32" s="1"/>
  <c r="N23"/>
  <c r="P23" s="1"/>
  <c r="N29"/>
  <c r="P29" s="1"/>
  <c r="P26"/>
  <c r="H23"/>
  <c r="H29"/>
  <c r="C42"/>
  <c r="F42" s="1"/>
  <c r="H42" s="1"/>
  <c r="G16"/>
  <c r="P16"/>
  <c r="F16"/>
  <c r="H16" s="1"/>
  <c r="N4"/>
  <c r="P4" s="1"/>
  <c r="N10"/>
  <c r="P10" s="1"/>
  <c r="H7"/>
  <c r="H13"/>
  <c r="F26"/>
  <c r="H26" s="1"/>
  <c r="F32"/>
  <c r="H32" s="1"/>
  <c r="F4"/>
  <c r="H4" s="1"/>
  <c r="F10"/>
  <c r="H10" s="1"/>
  <c r="C13" i="7"/>
  <c r="F13" s="1"/>
  <c r="H13" s="1"/>
  <c r="F36"/>
  <c r="H36" s="1"/>
  <c r="H38" s="1"/>
  <c r="C7"/>
  <c r="C20"/>
  <c r="C26"/>
  <c r="F4"/>
  <c r="H4" s="1"/>
  <c r="F10"/>
  <c r="H10" s="1"/>
  <c r="F23"/>
  <c r="H23" s="1"/>
  <c r="F29"/>
  <c r="H29" s="1"/>
  <c r="F7"/>
  <c r="H7" s="1"/>
  <c r="F20"/>
  <c r="H20" s="1"/>
  <c r="F26"/>
  <c r="H26" s="1"/>
  <c r="H23" i="4"/>
  <c r="H25" s="1"/>
  <c r="H23" i="5"/>
  <c r="H25" s="1"/>
  <c r="H36" i="6"/>
  <c r="H38" s="1"/>
  <c r="F4" i="1"/>
  <c r="H4" s="1"/>
  <c r="H6" s="1"/>
  <c r="H29" i="6"/>
  <c r="C26"/>
  <c r="H4"/>
  <c r="H10"/>
  <c r="H7"/>
  <c r="H13"/>
  <c r="H26"/>
  <c r="F4" i="5"/>
  <c r="H4" s="1"/>
  <c r="F10"/>
  <c r="H10" s="1"/>
  <c r="F16"/>
  <c r="H16" s="1"/>
  <c r="C16" i="4"/>
  <c r="F16" s="1"/>
  <c r="H16" s="1"/>
  <c r="C13"/>
  <c r="F13" s="1"/>
  <c r="H13" s="1"/>
  <c r="C10"/>
  <c r="F10" s="1"/>
  <c r="H10" s="1"/>
  <c r="C4"/>
  <c r="F4" s="1"/>
  <c r="H4" s="1"/>
  <c r="F7"/>
  <c r="H7" s="1"/>
  <c r="H26" i="3"/>
  <c r="H23"/>
  <c r="H4"/>
  <c r="H10"/>
  <c r="H7"/>
  <c r="H20" i="2"/>
  <c r="H26"/>
  <c r="H23"/>
  <c r="H13"/>
  <c r="H10"/>
  <c r="H4"/>
  <c r="H15" i="7" l="1"/>
  <c r="H59" i="9"/>
  <c r="P18" i="8"/>
  <c r="H7" i="2"/>
  <c r="H15" s="1"/>
  <c r="H31" i="6"/>
  <c r="H15"/>
  <c r="H18" i="5"/>
  <c r="H12" i="3"/>
  <c r="H28"/>
  <c r="H31" i="2"/>
</calcChain>
</file>

<file path=xl/sharedStrings.xml><?xml version="1.0" encoding="utf-8"?>
<sst xmlns="http://schemas.openxmlformats.org/spreadsheetml/2006/main" count="932" uniqueCount="49">
  <si>
    <t>C1 (m)</t>
  </si>
  <si>
    <t>H (m)</t>
  </si>
  <si>
    <t>angulo (graus)</t>
  </si>
  <si>
    <t>massa (kg)</t>
  </si>
  <si>
    <t>peso (N)</t>
  </si>
  <si>
    <t>força (N)</t>
  </si>
  <si>
    <t>braço (m)</t>
  </si>
  <si>
    <t>momento (N.m)</t>
  </si>
  <si>
    <t>Tornozelo</t>
  </si>
  <si>
    <t>COXA INFERIOR</t>
  </si>
  <si>
    <t>COXA SUPERIOR</t>
  </si>
  <si>
    <t>ANCA DIREITA</t>
  </si>
  <si>
    <t>C2 (m)</t>
  </si>
  <si>
    <t>TRONCO</t>
  </si>
  <si>
    <t>TOTAL</t>
  </si>
  <si>
    <t>JOELHO</t>
  </si>
  <si>
    <t>CANELA</t>
  </si>
  <si>
    <t>ANCA</t>
  </si>
  <si>
    <t xml:space="preserve">ANCA  </t>
  </si>
  <si>
    <t>VERIFICADO</t>
  </si>
  <si>
    <t>CANELA DIREITA</t>
  </si>
  <si>
    <t>COXA INFERIOR DIREITA</t>
  </si>
  <si>
    <t>COXA SUPERIOR DIREITA</t>
  </si>
  <si>
    <t>CANELA ESQUERDA</t>
  </si>
  <si>
    <t>COXA INFERIOR ESQUERDA</t>
  </si>
  <si>
    <t>COXA SUPERIOR ESQUERDA</t>
  </si>
  <si>
    <t>ANCA ESQUERDA</t>
  </si>
  <si>
    <t>PE ESQUERDO</t>
  </si>
  <si>
    <t>CRUZETA TORNOZELO ESQUERDO</t>
  </si>
  <si>
    <t>CANELA DIREITA v</t>
  </si>
  <si>
    <t>COXA INFERIOR DIREITA v</t>
  </si>
  <si>
    <t>COXA SUPERIOR DIREITA v</t>
  </si>
  <si>
    <t>ANCA DIREITA v</t>
  </si>
  <si>
    <t>TRONCO v</t>
  </si>
  <si>
    <t>CANELA ESQUERDA v</t>
  </si>
  <si>
    <t>COXA INFERIOR ESQUERDA v</t>
  </si>
  <si>
    <t>COXA SUPERIOR ESQUERDA v</t>
  </si>
  <si>
    <t>ANCA ESQUERDA v</t>
  </si>
  <si>
    <t>COXA INFERIOR V</t>
  </si>
  <si>
    <t>COXA SUPERIOR V</t>
  </si>
  <si>
    <t>ANCA DIREITA V</t>
  </si>
  <si>
    <t>TRONCO V</t>
  </si>
  <si>
    <t>CRUZETA TORNOZELO ESQUERDO V</t>
  </si>
  <si>
    <t>ANCA ESQUERDA V</t>
  </si>
  <si>
    <t>COXA SUPERIOR ESQUERDA V</t>
  </si>
  <si>
    <t>COXA INFERIOR ESQUERDA V</t>
  </si>
  <si>
    <t>CANELA ESQUERDA V</t>
  </si>
  <si>
    <t>PE ESQUERDO V</t>
  </si>
  <si>
    <t>ANCA   (no outro plano)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</si>
</sst>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61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5" fillId="7" borderId="0" applyNumberFormat="0" applyBorder="0" applyAlignment="0" applyProtection="0"/>
  </cellStyleXfs>
  <cellXfs count="97">
    <xf numFmtId="0" fontId="0" fillId="0" borderId="0" xfId="0"/>
    <xf numFmtId="0" fontId="0" fillId="0" borderId="0" xfId="0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4" fillId="2" borderId="9" xfId="1" applyNumberFormat="1" applyFont="1" applyBorder="1" applyAlignment="1">
      <alignment horizontal="center" vertical="center"/>
    </xf>
    <xf numFmtId="2" fontId="0" fillId="6" borderId="4" xfId="0" applyNumberFormat="1" applyFill="1" applyBorder="1" applyAlignment="1">
      <alignment horizontal="center" vertical="center"/>
    </xf>
    <xf numFmtId="2" fontId="0" fillId="6" borderId="5" xfId="0" applyNumberFormat="1" applyFill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5" borderId="4" xfId="0" applyNumberFormat="1" applyFill="1" applyBorder="1" applyAlignment="1">
      <alignment horizontal="center" vertical="center"/>
    </xf>
    <xf numFmtId="2" fontId="0" fillId="5" borderId="5" xfId="0" applyNumberFormat="1" applyFill="1" applyBorder="1" applyAlignment="1">
      <alignment horizontal="center" vertical="center"/>
    </xf>
    <xf numFmtId="2" fontId="0" fillId="5" borderId="6" xfId="0" applyNumberFormat="1" applyFill="1" applyBorder="1" applyAlignment="1">
      <alignment horizontal="center" vertical="center"/>
    </xf>
    <xf numFmtId="2" fontId="0" fillId="0" borderId="5" xfId="0" applyNumberFormat="1" applyBorder="1"/>
    <xf numFmtId="2" fontId="0" fillId="0" borderId="6" xfId="0" applyNumberFormat="1" applyBorder="1"/>
    <xf numFmtId="2" fontId="0" fillId="0" borderId="10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5" fillId="7" borderId="0" xfId="2" applyAlignment="1">
      <alignment horizontal="center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6" fillId="4" borderId="16" xfId="0" applyFont="1" applyFill="1" applyBorder="1" applyAlignment="1">
      <alignment horizontal="left" vertical="center"/>
    </xf>
    <xf numFmtId="0" fontId="6" fillId="4" borderId="17" xfId="0" applyFont="1" applyFill="1" applyBorder="1" applyAlignment="1">
      <alignment horizontal="left" vertical="center"/>
    </xf>
    <xf numFmtId="0" fontId="6" fillId="4" borderId="18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6" fillId="4" borderId="16" xfId="0" applyFont="1" applyFill="1" applyBorder="1" applyAlignment="1">
      <alignment horizontal="left"/>
    </xf>
    <xf numFmtId="0" fontId="6" fillId="4" borderId="17" xfId="0" applyFont="1" applyFill="1" applyBorder="1" applyAlignment="1">
      <alignment horizontal="left"/>
    </xf>
    <xf numFmtId="0" fontId="6" fillId="4" borderId="18" xfId="0" applyFont="1" applyFill="1" applyBorder="1" applyAlignment="1">
      <alignment horizontal="left"/>
    </xf>
    <xf numFmtId="2" fontId="6" fillId="4" borderId="16" xfId="0" applyNumberFormat="1" applyFont="1" applyFill="1" applyBorder="1" applyAlignment="1">
      <alignment horizontal="left" vertical="center"/>
    </xf>
    <xf numFmtId="2" fontId="6" fillId="4" borderId="17" xfId="0" applyNumberFormat="1" applyFont="1" applyFill="1" applyBorder="1" applyAlignment="1">
      <alignment horizontal="left" vertical="center"/>
    </xf>
    <xf numFmtId="2" fontId="6" fillId="4" borderId="18" xfId="0" applyNumberFormat="1" applyFont="1" applyFill="1" applyBorder="1" applyAlignment="1">
      <alignment horizontal="left" vertical="center"/>
    </xf>
    <xf numFmtId="2" fontId="0" fillId="5" borderId="16" xfId="0" applyNumberFormat="1" applyFill="1" applyBorder="1" applyAlignment="1">
      <alignment horizontal="center" vertical="center"/>
    </xf>
    <xf numFmtId="2" fontId="0" fillId="5" borderId="17" xfId="0" applyNumberFormat="1" applyFill="1" applyBorder="1" applyAlignment="1">
      <alignment horizontal="center" vertical="center"/>
    </xf>
    <xf numFmtId="2" fontId="0" fillId="5" borderId="18" xfId="0" applyNumberFormat="1" applyFill="1" applyBorder="1" applyAlignment="1">
      <alignment horizontal="center" vertical="center"/>
    </xf>
    <xf numFmtId="2" fontId="3" fillId="4" borderId="7" xfId="0" applyNumberFormat="1" applyFont="1" applyFill="1" applyBorder="1" applyAlignment="1">
      <alignment horizontal="center" vertical="center"/>
    </xf>
    <xf numFmtId="2" fontId="3" fillId="4" borderId="8" xfId="0" applyNumberFormat="1" applyFont="1" applyFill="1" applyBorder="1" applyAlignment="1">
      <alignment horizontal="center" vertical="center"/>
    </xf>
    <xf numFmtId="2" fontId="7" fillId="4" borderId="7" xfId="0" applyNumberFormat="1" applyFont="1" applyFill="1" applyBorder="1" applyAlignment="1">
      <alignment horizontal="center" vertical="center"/>
    </xf>
    <xf numFmtId="2" fontId="7" fillId="4" borderId="8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2" fontId="6" fillId="4" borderId="16" xfId="0" applyNumberFormat="1" applyFont="1" applyFill="1" applyBorder="1" applyAlignment="1">
      <alignment horizontal="left"/>
    </xf>
    <xf numFmtId="2" fontId="6" fillId="4" borderId="17" xfId="0" applyNumberFormat="1" applyFont="1" applyFill="1" applyBorder="1" applyAlignment="1">
      <alignment horizontal="left"/>
    </xf>
    <xf numFmtId="2" fontId="6" fillId="4" borderId="18" xfId="0" applyNumberFormat="1" applyFont="1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2" fontId="7" fillId="4" borderId="13" xfId="0" applyNumberFormat="1" applyFont="1" applyFill="1" applyBorder="1" applyAlignment="1">
      <alignment horizontal="center" vertical="center"/>
    </xf>
    <xf numFmtId="2" fontId="7" fillId="4" borderId="14" xfId="0" applyNumberFormat="1" applyFont="1" applyFill="1" applyBorder="1" applyAlignment="1">
      <alignment horizontal="center" vertical="center"/>
    </xf>
    <xf numFmtId="2" fontId="7" fillId="4" borderId="15" xfId="0" applyNumberFormat="1" applyFont="1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2" fontId="0" fillId="4" borderId="5" xfId="0" applyNumberFormat="1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2" fontId="0" fillId="4" borderId="5" xfId="0" applyNumberFormat="1" applyFill="1" applyBorder="1" applyAlignment="1">
      <alignment horizontal="center"/>
    </xf>
    <xf numFmtId="2" fontId="3" fillId="4" borderId="13" xfId="0" applyNumberFormat="1" applyFont="1" applyFill="1" applyBorder="1" applyAlignment="1">
      <alignment horizontal="center" vertical="center"/>
    </xf>
    <xf numFmtId="2" fontId="3" fillId="4" borderId="14" xfId="0" applyNumberFormat="1" applyFont="1" applyFill="1" applyBorder="1" applyAlignment="1">
      <alignment horizontal="center" vertical="center"/>
    </xf>
    <xf numFmtId="2" fontId="3" fillId="4" borderId="15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8" fillId="7" borderId="0" xfId="2" applyFont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2" fontId="6" fillId="5" borderId="22" xfId="0" applyNumberFormat="1" applyFont="1" applyFill="1" applyBorder="1" applyAlignment="1">
      <alignment horizontal="center" vertical="center"/>
    </xf>
    <xf numFmtId="2" fontId="6" fillId="5" borderId="23" xfId="0" applyNumberFormat="1" applyFont="1" applyFill="1" applyBorder="1" applyAlignment="1">
      <alignment horizontal="center" vertical="center"/>
    </xf>
    <xf numFmtId="2" fontId="6" fillId="5" borderId="24" xfId="0" applyNumberFormat="1" applyFont="1" applyFill="1" applyBorder="1" applyAlignment="1">
      <alignment horizontal="center" vertical="center"/>
    </xf>
    <xf numFmtId="2" fontId="6" fillId="5" borderId="25" xfId="0" applyNumberFormat="1" applyFont="1" applyFill="1" applyBorder="1" applyAlignment="1">
      <alignment horizontal="center" vertical="center"/>
    </xf>
    <xf numFmtId="2" fontId="6" fillId="5" borderId="0" xfId="0" applyNumberFormat="1" applyFont="1" applyFill="1" applyBorder="1" applyAlignment="1">
      <alignment horizontal="center" vertical="center"/>
    </xf>
    <xf numFmtId="2" fontId="6" fillId="5" borderId="26" xfId="0" applyNumberFormat="1" applyFont="1" applyFill="1" applyBorder="1" applyAlignment="1">
      <alignment horizontal="center" vertical="center"/>
    </xf>
    <xf numFmtId="2" fontId="6" fillId="5" borderId="27" xfId="0" applyNumberFormat="1" applyFont="1" applyFill="1" applyBorder="1" applyAlignment="1">
      <alignment horizontal="center" vertical="center"/>
    </xf>
    <xf numFmtId="2" fontId="6" fillId="5" borderId="28" xfId="0" applyNumberFormat="1" applyFont="1" applyFill="1" applyBorder="1" applyAlignment="1">
      <alignment horizontal="center" vertical="center"/>
    </xf>
    <xf numFmtId="2" fontId="6" fillId="5" borderId="29" xfId="0" applyNumberFormat="1" applyFont="1" applyFill="1" applyBorder="1" applyAlignment="1">
      <alignment horizontal="center" vertical="center"/>
    </xf>
  </cellXfs>
  <cellStyles count="3">
    <cellStyle name="Correcto" xfId="2" builtinId="26"/>
    <cellStyle name="Incorrecto" xfId="1" builtinId="27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76199</xdr:colOff>
      <xdr:row>0</xdr:row>
      <xdr:rowOff>69654</xdr:rowOff>
    </xdr:from>
    <xdr:to>
      <xdr:col>19</xdr:col>
      <xdr:colOff>320897</xdr:colOff>
      <xdr:row>37</xdr:row>
      <xdr:rowOff>133350</xdr:rowOff>
    </xdr:to>
    <xdr:pic>
      <xdr:nvPicPr>
        <xdr:cNvPr id="2" name="Imagem 1" descr="1ªposica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95949" y="69654"/>
          <a:ext cx="6950298" cy="7178871"/>
        </a:xfrm>
        <a:prstGeom prst="rect">
          <a:avLst/>
        </a:prstGeom>
        <a:ln w="190500" cap="sq">
          <a:solidFill>
            <a:srgbClr val="C8C6BD"/>
          </a:solidFill>
          <a:prstDash val="solid"/>
          <a:miter lim="800000"/>
        </a:ln>
        <a:effectLst>
          <a:outerShdw blurRad="254000" algn="bl" rotWithShape="0">
            <a:srgbClr val="000000">
              <a:alpha val="43000"/>
            </a:srgbClr>
          </a:outerShdw>
        </a:effectLst>
        <a:scene3d>
          <a:camera prst="perspectiveFront" fov="5400000"/>
          <a:lightRig rig="threePt" dir="t">
            <a:rot lat="0" lon="0" rev="2100000"/>
          </a:lightRig>
        </a:scene3d>
        <a:sp3d extrusionH="25400">
          <a:bevelT w="304800" h="152400" prst="hardEdge"/>
          <a:extrusionClr>
            <a:srgbClr val="000000"/>
          </a:extrusionClr>
        </a:sp3d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66675</xdr:colOff>
      <xdr:row>0</xdr:row>
      <xdr:rowOff>66674</xdr:rowOff>
    </xdr:from>
    <xdr:to>
      <xdr:col>20</xdr:col>
      <xdr:colOff>120458</xdr:colOff>
      <xdr:row>38</xdr:row>
      <xdr:rowOff>28574</xdr:rowOff>
    </xdr:to>
    <xdr:pic>
      <xdr:nvPicPr>
        <xdr:cNvPr id="2" name="Imagem 1" descr="2ªposica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62625" y="66674"/>
          <a:ext cx="7368983" cy="7267575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104774</xdr:colOff>
      <xdr:row>0</xdr:row>
      <xdr:rowOff>85724</xdr:rowOff>
    </xdr:from>
    <xdr:to>
      <xdr:col>19</xdr:col>
      <xdr:colOff>536099</xdr:colOff>
      <xdr:row>36</xdr:row>
      <xdr:rowOff>180975</xdr:rowOff>
    </xdr:to>
    <xdr:pic>
      <xdr:nvPicPr>
        <xdr:cNvPr id="2" name="Imagem 1" descr="3ªposicao.png"/>
        <xdr:cNvPicPr>
          <a:picLocks noChangeAspect="1"/>
        </xdr:cNvPicPr>
      </xdr:nvPicPr>
      <xdr:blipFill>
        <a:blip xmlns:r="http://schemas.openxmlformats.org/officeDocument/2006/relationships" r:embed="rId1"/>
        <a:srcRect l="12678" t="1596" r="8409" b="18608"/>
        <a:stretch>
          <a:fillRect/>
        </a:stretch>
      </xdr:blipFill>
      <xdr:spPr>
        <a:xfrm>
          <a:off x="5695949" y="85724"/>
          <a:ext cx="7136925" cy="7019926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0</xdr:row>
      <xdr:rowOff>76200</xdr:rowOff>
    </xdr:from>
    <xdr:to>
      <xdr:col>20</xdr:col>
      <xdr:colOff>19050</xdr:colOff>
      <xdr:row>41</xdr:row>
      <xdr:rowOff>47625</xdr:rowOff>
    </xdr:to>
    <xdr:pic>
      <xdr:nvPicPr>
        <xdr:cNvPr id="2" name="Imagem 1" descr="4ªposica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29275" y="76200"/>
          <a:ext cx="7229475" cy="7848600"/>
        </a:xfrm>
        <a:prstGeom prst="rect">
          <a:avLst/>
        </a:prstGeom>
        <a:ln w="190500" cap="sq">
          <a:solidFill>
            <a:srgbClr val="C8C6BD"/>
          </a:solidFill>
          <a:prstDash val="solid"/>
          <a:miter lim="800000"/>
        </a:ln>
        <a:effectLst>
          <a:outerShdw blurRad="254000" algn="bl" rotWithShape="0">
            <a:srgbClr val="000000">
              <a:alpha val="43000"/>
            </a:srgbClr>
          </a:outerShdw>
        </a:effectLst>
        <a:scene3d>
          <a:camera prst="perspectiveFront" fov="5400000"/>
          <a:lightRig rig="threePt" dir="t">
            <a:rot lat="0" lon="0" rev="2100000"/>
          </a:lightRig>
        </a:scene3d>
        <a:sp3d extrusionH="25400">
          <a:bevelT w="304800" h="152400" prst="hardEdge"/>
          <a:extrusionClr>
            <a:srgbClr val="000000"/>
          </a:extrusionClr>
        </a:sp3d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104774</xdr:colOff>
      <xdr:row>0</xdr:row>
      <xdr:rowOff>85725</xdr:rowOff>
    </xdr:from>
    <xdr:to>
      <xdr:col>21</xdr:col>
      <xdr:colOff>420637</xdr:colOff>
      <xdr:row>36</xdr:row>
      <xdr:rowOff>152400</xdr:rowOff>
    </xdr:to>
    <xdr:pic>
      <xdr:nvPicPr>
        <xdr:cNvPr id="2" name="Imagem 1" descr="5ªposica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14974" y="85725"/>
          <a:ext cx="8240663" cy="6991350"/>
        </a:xfrm>
        <a:prstGeom prst="rect">
          <a:avLst/>
        </a:prstGeom>
        <a:ln w="190500" cap="sq">
          <a:solidFill>
            <a:srgbClr val="C8C6BD"/>
          </a:solidFill>
          <a:prstDash val="solid"/>
          <a:miter lim="800000"/>
        </a:ln>
        <a:effectLst>
          <a:outerShdw blurRad="254000" algn="bl" rotWithShape="0">
            <a:srgbClr val="000000">
              <a:alpha val="43000"/>
            </a:srgbClr>
          </a:outerShdw>
        </a:effectLst>
        <a:scene3d>
          <a:camera prst="perspectiveFront" fov="5400000"/>
          <a:lightRig rig="threePt" dir="t">
            <a:rot lat="0" lon="0" rev="2100000"/>
          </a:lightRig>
        </a:scene3d>
        <a:sp3d extrusionH="25400">
          <a:bevelT w="304800" h="152400" prst="hardEdge"/>
          <a:extrusionClr>
            <a:srgbClr val="000000"/>
          </a:extrusionClr>
        </a:sp3d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0</xdr:row>
      <xdr:rowOff>104775</xdr:rowOff>
    </xdr:from>
    <xdr:to>
      <xdr:col>23</xdr:col>
      <xdr:colOff>195380</xdr:colOff>
      <xdr:row>35</xdr:row>
      <xdr:rowOff>180975</xdr:rowOff>
    </xdr:to>
    <xdr:pic>
      <xdr:nvPicPr>
        <xdr:cNvPr id="2" name="Imagem 1" descr="6ªposica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62625" y="104775"/>
          <a:ext cx="9234605" cy="6829425"/>
        </a:xfrm>
        <a:prstGeom prst="rect">
          <a:avLst/>
        </a:prstGeom>
        <a:ln w="190500" cap="sq">
          <a:solidFill>
            <a:srgbClr val="C8C6BD"/>
          </a:solidFill>
          <a:prstDash val="solid"/>
          <a:miter lim="800000"/>
        </a:ln>
        <a:effectLst>
          <a:outerShdw blurRad="254000" algn="bl" rotWithShape="0">
            <a:srgbClr val="000000">
              <a:alpha val="43000"/>
            </a:srgbClr>
          </a:outerShdw>
        </a:effectLst>
        <a:scene3d>
          <a:camera prst="perspectiveFront" fov="5400000"/>
          <a:lightRig rig="threePt" dir="t">
            <a:rot lat="0" lon="0" rev="2100000"/>
          </a:lightRig>
        </a:scene3d>
        <a:sp3d extrusionH="25400">
          <a:bevelT w="304800" h="152400" prst="hardEdge"/>
          <a:extrusionClr>
            <a:srgbClr val="000000"/>
          </a:extrusionClr>
        </a:sp3d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257175</xdr:colOff>
      <xdr:row>1</xdr:row>
      <xdr:rowOff>169913</xdr:rowOff>
    </xdr:from>
    <xdr:to>
      <xdr:col>20</xdr:col>
      <xdr:colOff>409575</xdr:colOff>
      <xdr:row>31</xdr:row>
      <xdr:rowOff>0</xdr:rowOff>
    </xdr:to>
    <xdr:pic>
      <xdr:nvPicPr>
        <xdr:cNvPr id="2" name="Imagem 1" descr="7ªposica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53075" y="369938"/>
          <a:ext cx="7467600" cy="5592712"/>
        </a:xfrm>
        <a:prstGeom prst="rect">
          <a:avLst/>
        </a:prstGeom>
        <a:ln w="190500" cap="sq">
          <a:solidFill>
            <a:srgbClr val="C8C6BD"/>
          </a:solidFill>
          <a:prstDash val="solid"/>
          <a:miter lim="800000"/>
        </a:ln>
        <a:effectLst>
          <a:outerShdw blurRad="254000" algn="bl" rotWithShape="0">
            <a:srgbClr val="000000">
              <a:alpha val="43000"/>
            </a:srgbClr>
          </a:outerShdw>
        </a:effectLst>
        <a:scene3d>
          <a:camera prst="perspectiveFront" fov="5400000"/>
          <a:lightRig rig="threePt" dir="t">
            <a:rot lat="0" lon="0" rev="2100000"/>
          </a:lightRig>
        </a:scene3d>
        <a:sp3d extrusionH="25400">
          <a:bevelT w="304800" h="152400" prst="hardEdge"/>
          <a:extrusionClr>
            <a:srgbClr val="000000"/>
          </a:extrusionClr>
        </a:sp3d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171450</xdr:colOff>
      <xdr:row>0</xdr:row>
      <xdr:rowOff>142875</xdr:rowOff>
    </xdr:from>
    <xdr:to>
      <xdr:col>29</xdr:col>
      <xdr:colOff>505478</xdr:colOff>
      <xdr:row>37</xdr:row>
      <xdr:rowOff>52668</xdr:rowOff>
    </xdr:to>
    <xdr:pic>
      <xdr:nvPicPr>
        <xdr:cNvPr id="2" name="Imagem 1" descr="8ªposica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3250" y="142875"/>
          <a:ext cx="8258827" cy="7010400"/>
        </a:xfrm>
        <a:prstGeom prst="rect">
          <a:avLst/>
        </a:prstGeom>
        <a:ln w="190500" cap="sq">
          <a:solidFill>
            <a:srgbClr val="C8C6BD"/>
          </a:solidFill>
          <a:prstDash val="solid"/>
          <a:miter lim="800000"/>
        </a:ln>
        <a:effectLst>
          <a:outerShdw blurRad="254000" algn="bl" rotWithShape="0">
            <a:srgbClr val="000000">
              <a:alpha val="43000"/>
            </a:srgbClr>
          </a:outerShdw>
        </a:effectLst>
        <a:scene3d>
          <a:camera prst="perspectiveFront" fov="5400000"/>
          <a:lightRig rig="threePt" dir="t">
            <a:rot lat="0" lon="0" rev="2100000"/>
          </a:lightRig>
        </a:scene3d>
        <a:sp3d extrusionH="25400">
          <a:bevelT w="304800" h="152400" prst="hardEdge"/>
          <a:extrusionClr>
            <a:srgbClr val="000000"/>
          </a:extrusionClr>
        </a:sp3d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A15" sqref="A15:H15"/>
    </sheetView>
  </sheetViews>
  <sheetFormatPr defaultRowHeight="15"/>
  <cols>
    <col min="2" max="2" width="9" bestFit="1" customWidth="1"/>
    <col min="3" max="3" width="13.7109375" bestFit="1" customWidth="1"/>
    <col min="4" max="4" width="10.28515625" bestFit="1" customWidth="1"/>
    <col min="5" max="5" width="8.5703125" bestFit="1" customWidth="1"/>
    <col min="6" max="6" width="8.7109375" bestFit="1" customWidth="1"/>
    <col min="7" max="7" width="9.42578125" bestFit="1" customWidth="1"/>
    <col min="8" max="8" width="15.42578125" bestFit="1" customWidth="1"/>
  </cols>
  <sheetData>
    <row r="1" spans="1:8" ht="15.75" thickTop="1">
      <c r="A1" s="24" t="s">
        <v>8</v>
      </c>
      <c r="B1" s="25"/>
      <c r="C1" s="25"/>
      <c r="D1" s="25"/>
      <c r="E1" s="25"/>
      <c r="F1" s="25"/>
      <c r="G1" s="25"/>
      <c r="H1" s="26"/>
    </row>
    <row r="2" spans="1:8">
      <c r="A2" s="33" t="s">
        <v>13</v>
      </c>
      <c r="B2" s="34"/>
      <c r="C2" s="34"/>
      <c r="D2" s="34"/>
      <c r="E2" s="34"/>
      <c r="F2" s="34"/>
      <c r="G2" s="34"/>
      <c r="H2" s="35"/>
    </row>
    <row r="3" spans="1:8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6" t="s">
        <v>7</v>
      </c>
    </row>
    <row r="4" spans="1:8">
      <c r="A4" s="12">
        <f>(301-45)/1000</f>
        <v>0.25600000000000001</v>
      </c>
      <c r="B4" s="13">
        <f>277.311/1000</f>
        <v>0.27731099999999997</v>
      </c>
      <c r="C4" s="9">
        <f>ASIN(A4/B4)*(180/PI())</f>
        <v>67.391212024879053</v>
      </c>
      <c r="D4" s="13">
        <v>2.06</v>
      </c>
      <c r="E4" s="9">
        <f>D4*9.81</f>
        <v>20.208600000000001</v>
      </c>
      <c r="F4" s="9">
        <f>E4*COS(C4*PI()/180)</f>
        <v>7.7689319271955757</v>
      </c>
      <c r="G4" s="9">
        <f>B4</f>
        <v>0.27731099999999997</v>
      </c>
      <c r="H4" s="10">
        <f>F4*G4</f>
        <v>2.1544102816625319</v>
      </c>
    </row>
    <row r="5" spans="1:8">
      <c r="A5" s="30"/>
      <c r="B5" s="31"/>
      <c r="C5" s="31"/>
      <c r="D5" s="31"/>
      <c r="E5" s="31"/>
      <c r="F5" s="31"/>
      <c r="G5" s="31"/>
      <c r="H5" s="32"/>
    </row>
    <row r="6" spans="1:8" ht="15.75" thickBot="1">
      <c r="A6" s="27" t="s">
        <v>14</v>
      </c>
      <c r="B6" s="28"/>
      <c r="C6" s="28"/>
      <c r="D6" s="28"/>
      <c r="E6" s="28"/>
      <c r="F6" s="28"/>
      <c r="G6" s="28"/>
      <c r="H6" s="11">
        <f>SUM(H4)</f>
        <v>2.1544102816625319</v>
      </c>
    </row>
    <row r="7" spans="1:8" ht="16.5" thickTop="1" thickBot="1">
      <c r="A7" s="1"/>
      <c r="B7" s="1"/>
      <c r="C7" s="1"/>
      <c r="D7" s="1"/>
      <c r="E7" s="1"/>
      <c r="F7" s="1"/>
      <c r="G7" s="1"/>
      <c r="H7" s="1"/>
    </row>
    <row r="8" spans="1:8" ht="15.75" thickTop="1">
      <c r="A8" s="24" t="s">
        <v>17</v>
      </c>
      <c r="B8" s="25"/>
      <c r="C8" s="25"/>
      <c r="D8" s="25"/>
      <c r="E8" s="25"/>
      <c r="F8" s="25"/>
      <c r="G8" s="25"/>
      <c r="H8" s="26"/>
    </row>
    <row r="9" spans="1:8">
      <c r="A9" s="33" t="s">
        <v>13</v>
      </c>
      <c r="B9" s="34"/>
      <c r="C9" s="34"/>
      <c r="D9" s="34"/>
      <c r="E9" s="34"/>
      <c r="F9" s="34"/>
      <c r="G9" s="34"/>
      <c r="H9" s="35"/>
    </row>
    <row r="10" spans="1:8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5" t="s">
        <v>6</v>
      </c>
      <c r="H10" s="6" t="s">
        <v>7</v>
      </c>
    </row>
    <row r="11" spans="1:8">
      <c r="A11" s="13">
        <v>0</v>
      </c>
      <c r="B11" s="13">
        <f>109.674/1000</f>
        <v>0.10967400000000001</v>
      </c>
      <c r="C11" s="9">
        <v>0</v>
      </c>
      <c r="D11" s="13">
        <v>2.06</v>
      </c>
      <c r="E11" s="9">
        <f>D11*9.81</f>
        <v>20.208600000000001</v>
      </c>
      <c r="F11" s="9">
        <f>E11</f>
        <v>20.208600000000001</v>
      </c>
      <c r="G11" s="9">
        <f>B11</f>
        <v>0.10967400000000001</v>
      </c>
      <c r="H11" s="10">
        <f>F11*G11</f>
        <v>2.2163579964000002</v>
      </c>
    </row>
    <row r="12" spans="1:8">
      <c r="A12" s="30"/>
      <c r="B12" s="31"/>
      <c r="C12" s="31"/>
      <c r="D12" s="31"/>
      <c r="E12" s="31"/>
      <c r="F12" s="31"/>
      <c r="G12" s="31"/>
      <c r="H12" s="32"/>
    </row>
    <row r="13" spans="1:8" ht="15.75" thickBot="1">
      <c r="A13" s="27" t="s">
        <v>14</v>
      </c>
      <c r="B13" s="28"/>
      <c r="C13" s="28"/>
      <c r="D13" s="28"/>
      <c r="E13" s="28"/>
      <c r="F13" s="28"/>
      <c r="G13" s="28"/>
      <c r="H13" s="11">
        <f>SUM(H11)</f>
        <v>2.2163579964000002</v>
      </c>
    </row>
    <row r="14" spans="1:8" ht="15.75" thickTop="1"/>
    <row r="15" spans="1:8">
      <c r="A15" s="29" t="s">
        <v>19</v>
      </c>
      <c r="B15" s="29"/>
      <c r="C15" s="29"/>
      <c r="D15" s="29"/>
      <c r="E15" s="29"/>
      <c r="F15" s="29"/>
      <c r="G15" s="29"/>
      <c r="H15" s="29"/>
    </row>
  </sheetData>
  <mergeCells count="9">
    <mergeCell ref="A1:H1"/>
    <mergeCell ref="A6:G6"/>
    <mergeCell ref="A15:H15"/>
    <mergeCell ref="A5:H5"/>
    <mergeCell ref="A13:G13"/>
    <mergeCell ref="A2:H2"/>
    <mergeCell ref="A8:H8"/>
    <mergeCell ref="A9:H9"/>
    <mergeCell ref="A12:H12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="85" zoomScaleNormal="85" workbookViewId="0">
      <selection activeCell="C35" sqref="C35"/>
    </sheetView>
  </sheetViews>
  <sheetFormatPr defaultRowHeight="15"/>
  <cols>
    <col min="3" max="3" width="13.7109375" bestFit="1" customWidth="1"/>
    <col min="4" max="4" width="10.28515625" bestFit="1" customWidth="1"/>
    <col min="7" max="7" width="9.42578125" bestFit="1" customWidth="1"/>
    <col min="8" max="8" width="15.42578125" bestFit="1" customWidth="1"/>
  </cols>
  <sheetData>
    <row r="1" spans="1:9" ht="15.75" thickTop="1">
      <c r="A1" s="24" t="s">
        <v>8</v>
      </c>
      <c r="B1" s="25"/>
      <c r="C1" s="25"/>
      <c r="D1" s="25"/>
      <c r="E1" s="25"/>
      <c r="F1" s="25"/>
      <c r="G1" s="25"/>
      <c r="H1" s="26"/>
    </row>
    <row r="2" spans="1:9">
      <c r="A2" s="39" t="s">
        <v>9</v>
      </c>
      <c r="B2" s="40"/>
      <c r="C2" s="40"/>
      <c r="D2" s="40"/>
      <c r="E2" s="40"/>
      <c r="F2" s="40"/>
      <c r="G2" s="40"/>
      <c r="H2" s="41"/>
    </row>
    <row r="3" spans="1:9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6" t="s">
        <v>7</v>
      </c>
      <c r="I3" s="1"/>
    </row>
    <row r="4" spans="1:9">
      <c r="A4" s="7">
        <v>0</v>
      </c>
      <c r="B4" s="13">
        <f>35.188/1000</f>
        <v>3.5188000000000004E-2</v>
      </c>
      <c r="C4" s="9">
        <v>0</v>
      </c>
      <c r="D4" s="8">
        <v>0.04</v>
      </c>
      <c r="E4" s="9">
        <f>D4*9.81</f>
        <v>0.39240000000000003</v>
      </c>
      <c r="F4" s="9">
        <f>E4</f>
        <v>0.39240000000000003</v>
      </c>
      <c r="G4" s="9">
        <f>B4</f>
        <v>3.5188000000000004E-2</v>
      </c>
      <c r="H4" s="10">
        <f>ABS(F4*G4)</f>
        <v>1.3807771200000003E-2</v>
      </c>
      <c r="I4" s="1"/>
    </row>
    <row r="5" spans="1:9">
      <c r="A5" s="33" t="s">
        <v>10</v>
      </c>
      <c r="B5" s="34"/>
      <c r="C5" s="34"/>
      <c r="D5" s="34"/>
      <c r="E5" s="34"/>
      <c r="F5" s="34"/>
      <c r="G5" s="34"/>
      <c r="H5" s="35"/>
      <c r="I5" s="1"/>
    </row>
    <row r="6" spans="1:9">
      <c r="A6" s="4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6" t="s">
        <v>7</v>
      </c>
      <c r="I6" s="1"/>
    </row>
    <row r="7" spans="1:9">
      <c r="A7" s="7">
        <v>0</v>
      </c>
      <c r="B7" s="13">
        <f>78.598/1000</f>
        <v>7.8598000000000001E-2</v>
      </c>
      <c r="C7" s="9">
        <v>0</v>
      </c>
      <c r="D7" s="13">
        <v>8.2000000000000003E-2</v>
      </c>
      <c r="E7" s="9">
        <f>D7*9.81</f>
        <v>0.80442000000000002</v>
      </c>
      <c r="F7" s="9">
        <f>E7</f>
        <v>0.80442000000000002</v>
      </c>
      <c r="G7" s="9">
        <f>B7</f>
        <v>7.8598000000000001E-2</v>
      </c>
      <c r="H7" s="10">
        <f>ABS(F7*G7)</f>
        <v>6.3225803159999996E-2</v>
      </c>
      <c r="I7" s="1"/>
    </row>
    <row r="8" spans="1:9">
      <c r="A8" s="33" t="s">
        <v>11</v>
      </c>
      <c r="B8" s="34"/>
      <c r="C8" s="34"/>
      <c r="D8" s="34"/>
      <c r="E8" s="34"/>
      <c r="F8" s="34"/>
      <c r="G8" s="34"/>
      <c r="H8" s="35"/>
      <c r="I8" s="1"/>
    </row>
    <row r="9" spans="1:9">
      <c r="A9" s="4" t="s">
        <v>0</v>
      </c>
      <c r="B9" s="5" t="s">
        <v>1</v>
      </c>
      <c r="C9" s="5" t="s">
        <v>2</v>
      </c>
      <c r="D9" s="5" t="s">
        <v>3</v>
      </c>
      <c r="E9" s="5" t="s">
        <v>4</v>
      </c>
      <c r="F9" s="5" t="s">
        <v>5</v>
      </c>
      <c r="G9" s="5" t="s">
        <v>6</v>
      </c>
      <c r="H9" s="6" t="s">
        <v>7</v>
      </c>
      <c r="I9" s="1"/>
    </row>
    <row r="10" spans="1:9">
      <c r="A10" s="7">
        <v>0</v>
      </c>
      <c r="B10" s="13">
        <f>132.927/1000</f>
        <v>0.13292699999999999</v>
      </c>
      <c r="C10" s="9">
        <v>0</v>
      </c>
      <c r="D10" s="13">
        <v>8.6999999999999994E-2</v>
      </c>
      <c r="E10" s="9">
        <f>D10*9.81</f>
        <v>0.85346999999999995</v>
      </c>
      <c r="F10" s="9">
        <f>E10</f>
        <v>0.85346999999999995</v>
      </c>
      <c r="G10" s="9">
        <f>B10</f>
        <v>0.13292699999999999</v>
      </c>
      <c r="H10" s="10">
        <f>ABS(F10*G10)</f>
        <v>0.11344920668999998</v>
      </c>
      <c r="I10" s="1"/>
    </row>
    <row r="11" spans="1:9">
      <c r="A11" s="33" t="s">
        <v>13</v>
      </c>
      <c r="B11" s="34"/>
      <c r="C11" s="34"/>
      <c r="D11" s="34"/>
      <c r="E11" s="34"/>
      <c r="F11" s="34"/>
      <c r="G11" s="34"/>
      <c r="H11" s="35"/>
      <c r="I11" s="1"/>
    </row>
    <row r="12" spans="1:9">
      <c r="A12" s="4" t="s">
        <v>12</v>
      </c>
      <c r="B12" s="5" t="s">
        <v>1</v>
      </c>
      <c r="C12" s="5" t="s">
        <v>2</v>
      </c>
      <c r="D12" s="5" t="s">
        <v>3</v>
      </c>
      <c r="E12" s="5" t="s">
        <v>4</v>
      </c>
      <c r="F12" s="5" t="s">
        <v>5</v>
      </c>
      <c r="G12" s="5" t="s">
        <v>6</v>
      </c>
      <c r="H12" s="6" t="s">
        <v>7</v>
      </c>
      <c r="I12" s="1"/>
    </row>
    <row r="13" spans="1:9">
      <c r="A13" s="7">
        <v>0</v>
      </c>
      <c r="B13" s="8">
        <v>0.124</v>
      </c>
      <c r="C13" s="9">
        <v>0</v>
      </c>
      <c r="D13" s="8">
        <v>2.06</v>
      </c>
      <c r="E13" s="9">
        <f>D13*9.81</f>
        <v>20.208600000000001</v>
      </c>
      <c r="F13" s="9">
        <f>E13</f>
        <v>20.208600000000001</v>
      </c>
      <c r="G13" s="9">
        <f>B13</f>
        <v>0.124</v>
      </c>
      <c r="H13" s="10">
        <f>ABS(F13*G13)</f>
        <v>2.5058663999999999</v>
      </c>
      <c r="I13" s="1"/>
    </row>
    <row r="14" spans="1:9">
      <c r="A14" s="30"/>
      <c r="B14" s="31"/>
      <c r="C14" s="31"/>
      <c r="D14" s="31"/>
      <c r="E14" s="31"/>
      <c r="F14" s="31"/>
      <c r="G14" s="31"/>
      <c r="H14" s="32"/>
      <c r="I14" s="1"/>
    </row>
    <row r="15" spans="1:9" ht="15.75" thickBot="1">
      <c r="A15" s="27" t="s">
        <v>14</v>
      </c>
      <c r="B15" s="28"/>
      <c r="C15" s="28"/>
      <c r="D15" s="28"/>
      <c r="E15" s="28"/>
      <c r="F15" s="28"/>
      <c r="G15" s="28"/>
      <c r="H15" s="11">
        <f>SUM(H4+H7+H10+H13)</f>
        <v>2.69634918105</v>
      </c>
      <c r="I15" s="1"/>
    </row>
    <row r="16" spans="1:9" ht="16.5" thickTop="1" thickBot="1">
      <c r="A16" s="1"/>
      <c r="B16" s="1"/>
      <c r="C16" s="1"/>
      <c r="D16" s="1"/>
      <c r="E16" s="1"/>
      <c r="F16" s="1"/>
      <c r="G16" s="1"/>
      <c r="H16" s="1"/>
      <c r="I16" s="1"/>
    </row>
    <row r="17" spans="1:9" ht="15.75" thickTop="1">
      <c r="A17" s="24" t="s">
        <v>15</v>
      </c>
      <c r="B17" s="25"/>
      <c r="C17" s="25"/>
      <c r="D17" s="25"/>
      <c r="E17" s="25"/>
      <c r="F17" s="25"/>
      <c r="G17" s="25"/>
      <c r="H17" s="26"/>
    </row>
    <row r="18" spans="1:9">
      <c r="A18" s="33" t="s">
        <v>9</v>
      </c>
      <c r="B18" s="34"/>
      <c r="C18" s="34"/>
      <c r="D18" s="34"/>
      <c r="E18" s="34"/>
      <c r="F18" s="34"/>
      <c r="G18" s="34"/>
      <c r="H18" s="35"/>
    </row>
    <row r="19" spans="1:9">
      <c r="A19" s="4" t="s">
        <v>0</v>
      </c>
      <c r="B19" s="5" t="s">
        <v>1</v>
      </c>
      <c r="C19" s="5" t="s">
        <v>2</v>
      </c>
      <c r="D19" s="5" t="s">
        <v>3</v>
      </c>
      <c r="E19" s="5" t="s">
        <v>4</v>
      </c>
      <c r="F19" s="5" t="s">
        <v>5</v>
      </c>
      <c r="G19" s="5" t="s">
        <v>6</v>
      </c>
      <c r="H19" s="6" t="s">
        <v>7</v>
      </c>
      <c r="I19" s="1"/>
    </row>
    <row r="20" spans="1:9">
      <c r="A20" s="7">
        <v>0</v>
      </c>
      <c r="B20" s="13">
        <f>35.188/1000</f>
        <v>3.5188000000000004E-2</v>
      </c>
      <c r="C20" s="9">
        <v>0</v>
      </c>
      <c r="D20" s="8">
        <v>0.04</v>
      </c>
      <c r="E20" s="9">
        <f>D20*9.81</f>
        <v>0.39240000000000003</v>
      </c>
      <c r="F20" s="9">
        <f>E20</f>
        <v>0.39240000000000003</v>
      </c>
      <c r="G20" s="9">
        <f>B20</f>
        <v>3.5188000000000004E-2</v>
      </c>
      <c r="H20" s="10">
        <f>ABS(F20*G20)</f>
        <v>1.3807771200000003E-2</v>
      </c>
      <c r="I20" s="1"/>
    </row>
    <row r="21" spans="1:9">
      <c r="A21" s="36" t="s">
        <v>10</v>
      </c>
      <c r="B21" s="37"/>
      <c r="C21" s="37"/>
      <c r="D21" s="37"/>
      <c r="E21" s="37"/>
      <c r="F21" s="37"/>
      <c r="G21" s="37"/>
      <c r="H21" s="38"/>
      <c r="I21" s="1"/>
    </row>
    <row r="22" spans="1:9">
      <c r="A22" s="4" t="s">
        <v>0</v>
      </c>
      <c r="B22" s="5" t="s">
        <v>1</v>
      </c>
      <c r="C22" s="5" t="s">
        <v>2</v>
      </c>
      <c r="D22" s="5" t="s">
        <v>3</v>
      </c>
      <c r="E22" s="5" t="s">
        <v>4</v>
      </c>
      <c r="F22" s="5" t="s">
        <v>5</v>
      </c>
      <c r="G22" s="5" t="s">
        <v>6</v>
      </c>
      <c r="H22" s="6" t="s">
        <v>7</v>
      </c>
      <c r="I22" s="1"/>
    </row>
    <row r="23" spans="1:9">
      <c r="A23" s="7">
        <v>0</v>
      </c>
      <c r="B23" s="13">
        <f>78.598/1000</f>
        <v>7.8598000000000001E-2</v>
      </c>
      <c r="C23" s="9">
        <v>0</v>
      </c>
      <c r="D23" s="13">
        <v>8.2000000000000003E-2</v>
      </c>
      <c r="E23" s="9">
        <f>D23*9.81</f>
        <v>0.80442000000000002</v>
      </c>
      <c r="F23" s="9">
        <f>E23</f>
        <v>0.80442000000000002</v>
      </c>
      <c r="G23" s="9">
        <f>B23</f>
        <v>7.8598000000000001E-2</v>
      </c>
      <c r="H23" s="10">
        <f>ABS(F23*G23)</f>
        <v>6.3225803159999996E-2</v>
      </c>
      <c r="I23" s="1"/>
    </row>
    <row r="24" spans="1:9">
      <c r="A24" s="36" t="s">
        <v>11</v>
      </c>
      <c r="B24" s="37"/>
      <c r="C24" s="37"/>
      <c r="D24" s="37"/>
      <c r="E24" s="37"/>
      <c r="F24" s="37"/>
      <c r="G24" s="37"/>
      <c r="H24" s="38"/>
      <c r="I24" s="1"/>
    </row>
    <row r="25" spans="1:9">
      <c r="A25" s="4" t="s">
        <v>0</v>
      </c>
      <c r="B25" s="5" t="s">
        <v>1</v>
      </c>
      <c r="C25" s="5" t="s">
        <v>2</v>
      </c>
      <c r="D25" s="5" t="s">
        <v>3</v>
      </c>
      <c r="E25" s="5" t="s">
        <v>4</v>
      </c>
      <c r="F25" s="5" t="s">
        <v>5</v>
      </c>
      <c r="G25" s="5" t="s">
        <v>6</v>
      </c>
      <c r="H25" s="6" t="s">
        <v>7</v>
      </c>
      <c r="I25" s="1"/>
    </row>
    <row r="26" spans="1:9">
      <c r="A26" s="7">
        <v>0</v>
      </c>
      <c r="B26" s="13">
        <f>132.927/1000</f>
        <v>0.13292699999999999</v>
      </c>
      <c r="C26" s="9">
        <v>0</v>
      </c>
      <c r="D26" s="13">
        <v>8.6999999999999994E-2</v>
      </c>
      <c r="E26" s="9">
        <f>D26*9.81</f>
        <v>0.85346999999999995</v>
      </c>
      <c r="F26" s="9">
        <f>E26</f>
        <v>0.85346999999999995</v>
      </c>
      <c r="G26" s="9">
        <f>B26</f>
        <v>0.13292699999999999</v>
      </c>
      <c r="H26" s="10">
        <f>ABS(F26*G26)</f>
        <v>0.11344920668999998</v>
      </c>
      <c r="I26" s="1"/>
    </row>
    <row r="27" spans="1:9">
      <c r="A27" s="33" t="s">
        <v>13</v>
      </c>
      <c r="B27" s="34"/>
      <c r="C27" s="34"/>
      <c r="D27" s="34"/>
      <c r="E27" s="34"/>
      <c r="F27" s="34"/>
      <c r="G27" s="34"/>
      <c r="H27" s="35"/>
      <c r="I27" s="1"/>
    </row>
    <row r="28" spans="1:9">
      <c r="A28" s="4" t="s">
        <v>0</v>
      </c>
      <c r="B28" s="5" t="s">
        <v>1</v>
      </c>
      <c r="C28" s="5" t="s">
        <v>2</v>
      </c>
      <c r="D28" s="5" t="s">
        <v>3</v>
      </c>
      <c r="E28" s="5" t="s">
        <v>4</v>
      </c>
      <c r="F28" s="5" t="s">
        <v>5</v>
      </c>
      <c r="G28" s="5" t="s">
        <v>6</v>
      </c>
      <c r="H28" s="6" t="s">
        <v>7</v>
      </c>
      <c r="I28" s="1"/>
    </row>
    <row r="29" spans="1:9">
      <c r="A29" s="7">
        <v>0</v>
      </c>
      <c r="B29" s="8">
        <f>124/1000</f>
        <v>0.124</v>
      </c>
      <c r="C29" s="9">
        <v>0</v>
      </c>
      <c r="D29" s="8">
        <v>2.06</v>
      </c>
      <c r="E29" s="9">
        <f>D29*9.81</f>
        <v>20.208600000000001</v>
      </c>
      <c r="F29" s="9">
        <f>E29</f>
        <v>20.208600000000001</v>
      </c>
      <c r="G29" s="9">
        <f>B29</f>
        <v>0.124</v>
      </c>
      <c r="H29" s="10">
        <f>F29*G29</f>
        <v>2.5058663999999999</v>
      </c>
      <c r="I29" s="1"/>
    </row>
    <row r="30" spans="1:9">
      <c r="A30" s="30"/>
      <c r="B30" s="31"/>
      <c r="C30" s="31"/>
      <c r="D30" s="31"/>
      <c r="E30" s="31"/>
      <c r="F30" s="31"/>
      <c r="G30" s="31"/>
      <c r="H30" s="32"/>
      <c r="I30" s="1"/>
    </row>
    <row r="31" spans="1:9" ht="15.75" thickBot="1">
      <c r="A31" s="27" t="s">
        <v>14</v>
      </c>
      <c r="B31" s="28"/>
      <c r="C31" s="28"/>
      <c r="D31" s="28"/>
      <c r="E31" s="28"/>
      <c r="F31" s="28"/>
      <c r="G31" s="28"/>
      <c r="H31" s="11">
        <f>SUM(H20+H23+H26+H29)</f>
        <v>2.69634918105</v>
      </c>
      <c r="I31" s="1"/>
    </row>
    <row r="32" spans="1:9" ht="15.75" thickTop="1"/>
    <row r="33" spans="1:8">
      <c r="A33" s="29" t="s">
        <v>19</v>
      </c>
      <c r="B33" s="29"/>
      <c r="C33" s="29"/>
      <c r="D33" s="29"/>
      <c r="E33" s="29"/>
      <c r="F33" s="29"/>
      <c r="G33" s="29"/>
      <c r="H33" s="29"/>
    </row>
  </sheetData>
  <mergeCells count="15">
    <mergeCell ref="A11:H11"/>
    <mergeCell ref="A14:H14"/>
    <mergeCell ref="A33:H33"/>
    <mergeCell ref="A31:G31"/>
    <mergeCell ref="A1:H1"/>
    <mergeCell ref="A15:G15"/>
    <mergeCell ref="A18:H18"/>
    <mergeCell ref="A21:H21"/>
    <mergeCell ref="A24:H24"/>
    <mergeCell ref="A27:H27"/>
    <mergeCell ref="A30:H30"/>
    <mergeCell ref="A17:H17"/>
    <mergeCell ref="A2:H2"/>
    <mergeCell ref="A5:H5"/>
    <mergeCell ref="A8:H8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Normal="100" workbookViewId="0">
      <selection activeCell="A24" sqref="A24:H24"/>
    </sheetView>
  </sheetViews>
  <sheetFormatPr defaultRowHeight="15"/>
  <cols>
    <col min="1" max="1" width="7.5703125" bestFit="1" customWidth="1"/>
    <col min="2" max="2" width="9.140625" bestFit="1" customWidth="1"/>
    <col min="3" max="3" width="13.85546875" bestFit="1" customWidth="1"/>
    <col min="4" max="4" width="10.42578125" bestFit="1" customWidth="1"/>
    <col min="5" max="5" width="8.7109375" bestFit="1" customWidth="1"/>
    <col min="6" max="6" width="8.85546875" bestFit="1" customWidth="1"/>
    <col min="7" max="7" width="9.7109375" bestFit="1" customWidth="1"/>
    <col min="8" max="8" width="15.5703125" bestFit="1" customWidth="1"/>
  </cols>
  <sheetData>
    <row r="1" spans="1:9" ht="15.75" thickTop="1">
      <c r="A1" s="24" t="s">
        <v>8</v>
      </c>
      <c r="B1" s="25"/>
      <c r="C1" s="25"/>
      <c r="D1" s="25"/>
      <c r="E1" s="25"/>
      <c r="F1" s="25"/>
      <c r="G1" s="25"/>
      <c r="H1" s="26"/>
    </row>
    <row r="2" spans="1:9">
      <c r="A2" s="39" t="s">
        <v>16</v>
      </c>
      <c r="B2" s="40"/>
      <c r="C2" s="40"/>
      <c r="D2" s="40"/>
      <c r="E2" s="40"/>
      <c r="F2" s="40"/>
      <c r="G2" s="40"/>
      <c r="H2" s="41"/>
    </row>
    <row r="3" spans="1:9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6" t="s">
        <v>7</v>
      </c>
      <c r="I3" s="1"/>
    </row>
    <row r="4" spans="1:9">
      <c r="A4" s="12">
        <f>(79.949-45)/1000</f>
        <v>3.4949000000000001E-2</v>
      </c>
      <c r="B4" s="13">
        <f>86.73/1000</f>
        <v>8.6730000000000002E-2</v>
      </c>
      <c r="C4" s="9">
        <f>ASIN(A4/B4)*(180/PI())</f>
        <v>23.763554798275909</v>
      </c>
      <c r="D4" s="13">
        <v>0.187</v>
      </c>
      <c r="E4" s="9">
        <f>D4*9.81</f>
        <v>1.83447</v>
      </c>
      <c r="F4" s="9">
        <f>E4*COS(C4*PI()/180)</f>
        <v>1.6789366135472779</v>
      </c>
      <c r="G4" s="9">
        <f>B4</f>
        <v>8.6730000000000002E-2</v>
      </c>
      <c r="H4" s="23">
        <f>ABS(F4*G4)</f>
        <v>0.14561417249295541</v>
      </c>
      <c r="I4" s="1"/>
    </row>
    <row r="5" spans="1:9">
      <c r="A5" s="55" t="s">
        <v>9</v>
      </c>
      <c r="B5" s="56"/>
      <c r="C5" s="56"/>
      <c r="D5" s="56"/>
      <c r="E5" s="56"/>
      <c r="F5" s="56"/>
      <c r="G5" s="56"/>
      <c r="H5" s="57"/>
    </row>
    <row r="6" spans="1:9">
      <c r="A6" s="15" t="s">
        <v>0</v>
      </c>
      <c r="B6" s="16" t="s">
        <v>1</v>
      </c>
      <c r="C6" s="16" t="s">
        <v>2</v>
      </c>
      <c r="D6" s="16" t="s">
        <v>3</v>
      </c>
      <c r="E6" s="16" t="s">
        <v>4</v>
      </c>
      <c r="F6" s="16" t="s">
        <v>5</v>
      </c>
      <c r="G6" s="16" t="s">
        <v>6</v>
      </c>
      <c r="H6" s="17" t="s">
        <v>7</v>
      </c>
      <c r="I6" s="1"/>
    </row>
    <row r="7" spans="1:9">
      <c r="A7" s="12">
        <f>(110.243-45)/1000</f>
        <v>6.5242999999999995E-2</v>
      </c>
      <c r="B7" s="13">
        <f>106.455/1000</f>
        <v>0.10645499999999999</v>
      </c>
      <c r="C7" s="9">
        <f>ASIN(A7/B7)*(180/PI())</f>
        <v>37.797261548090859</v>
      </c>
      <c r="D7" s="13">
        <v>0.04</v>
      </c>
      <c r="E7" s="9">
        <f>D7*9.81</f>
        <v>0.39240000000000003</v>
      </c>
      <c r="F7" s="9">
        <f>E7*COS(C7*PI()/180)</f>
        <v>0.31006832142607765</v>
      </c>
      <c r="G7" s="9">
        <f>B7</f>
        <v>0.10645499999999999</v>
      </c>
      <c r="H7" s="23">
        <f>ABS(F7*G7)</f>
        <v>3.3008323157413096E-2</v>
      </c>
      <c r="I7" s="1"/>
    </row>
    <row r="8" spans="1:9">
      <c r="A8" s="42" t="s">
        <v>10</v>
      </c>
      <c r="B8" s="43"/>
      <c r="C8" s="43"/>
      <c r="D8" s="43"/>
      <c r="E8" s="43"/>
      <c r="F8" s="43"/>
      <c r="G8" s="43"/>
      <c r="H8" s="44"/>
      <c r="I8" s="1"/>
    </row>
    <row r="9" spans="1:9">
      <c r="A9" s="15" t="s">
        <v>0</v>
      </c>
      <c r="B9" s="16" t="s">
        <v>1</v>
      </c>
      <c r="C9" s="16" t="s">
        <v>2</v>
      </c>
      <c r="D9" s="16" t="s">
        <v>3</v>
      </c>
      <c r="E9" s="16" t="s">
        <v>4</v>
      </c>
      <c r="F9" s="16" t="s">
        <v>5</v>
      </c>
      <c r="G9" s="16" t="s">
        <v>6</v>
      </c>
      <c r="H9" s="17" t="s">
        <v>7</v>
      </c>
      <c r="I9" s="1"/>
    </row>
    <row r="10" spans="1:9">
      <c r="A10" s="12">
        <f>(129.327-45)/1000</f>
        <v>8.4326999999999999E-2</v>
      </c>
      <c r="B10" s="13">
        <f>94.524/1000</f>
        <v>9.4523999999999997E-2</v>
      </c>
      <c r="C10" s="9">
        <f>ASIN(A10/B10)*(180/PI())</f>
        <v>63.141200218283558</v>
      </c>
      <c r="D10" s="13">
        <v>8.2000000000000003E-2</v>
      </c>
      <c r="E10" s="9">
        <f>D10*9.81</f>
        <v>0.80442000000000002</v>
      </c>
      <c r="F10" s="9">
        <f>E10*COS(C10*PI()/180)</f>
        <v>0.36343158175703238</v>
      </c>
      <c r="G10" s="9">
        <f>B10</f>
        <v>9.4523999999999997E-2</v>
      </c>
      <c r="H10" s="23">
        <f>ABS(F10*G10)</f>
        <v>3.4353006834001727E-2</v>
      </c>
      <c r="I10" s="1"/>
    </row>
    <row r="11" spans="1:9">
      <c r="A11" s="45"/>
      <c r="B11" s="46"/>
      <c r="C11" s="46"/>
      <c r="D11" s="46"/>
      <c r="E11" s="46"/>
      <c r="F11" s="46"/>
      <c r="G11" s="46"/>
      <c r="H11" s="47"/>
      <c r="I11" s="1"/>
    </row>
    <row r="12" spans="1:9" ht="15.75" thickBot="1">
      <c r="A12" s="50" t="s">
        <v>14</v>
      </c>
      <c r="B12" s="51"/>
      <c r="C12" s="51"/>
      <c r="D12" s="51"/>
      <c r="E12" s="51"/>
      <c r="F12" s="51"/>
      <c r="G12" s="51"/>
      <c r="H12" s="11">
        <f>SUM(H4+H7+H10)</f>
        <v>0.21297550248437022</v>
      </c>
      <c r="I12" s="1"/>
    </row>
    <row r="13" spans="1:9" ht="16.5" thickTop="1" thickBot="1"/>
    <row r="14" spans="1:9" ht="15.75" thickTop="1">
      <c r="A14" s="52" t="s">
        <v>15</v>
      </c>
      <c r="B14" s="53"/>
      <c r="C14" s="53"/>
      <c r="D14" s="53"/>
      <c r="E14" s="53"/>
      <c r="F14" s="53"/>
      <c r="G14" s="53"/>
      <c r="H14" s="54"/>
    </row>
    <row r="15" spans="1:9">
      <c r="A15" s="33" t="s">
        <v>9</v>
      </c>
      <c r="B15" s="34"/>
      <c r="C15" s="34"/>
      <c r="D15" s="34"/>
      <c r="E15" s="34"/>
      <c r="F15" s="34"/>
      <c r="G15" s="34"/>
      <c r="H15" s="35"/>
    </row>
    <row r="16" spans="1:9">
      <c r="A16" s="4" t="s">
        <v>0</v>
      </c>
      <c r="B16" s="5" t="s">
        <v>1</v>
      </c>
      <c r="C16" s="5" t="s">
        <v>2</v>
      </c>
      <c r="D16" s="5" t="s">
        <v>3</v>
      </c>
      <c r="E16" s="5" t="s">
        <v>4</v>
      </c>
      <c r="F16" s="5" t="s">
        <v>5</v>
      </c>
      <c r="G16" s="5" t="s">
        <v>6</v>
      </c>
      <c r="H16" s="6" t="s">
        <v>7</v>
      </c>
      <c r="I16" s="1"/>
    </row>
    <row r="17" spans="1:9">
      <c r="A17" s="12">
        <f>(110.132-96.577)/1000</f>
        <v>1.3555000000000006E-2</v>
      </c>
      <c r="B17" s="13">
        <f>35.188/1000</f>
        <v>3.5188000000000004E-2</v>
      </c>
      <c r="C17" s="9">
        <f>ASIN(A17/B17)*(180/PI())</f>
        <v>22.657184675599126</v>
      </c>
      <c r="D17" s="13">
        <v>0.04</v>
      </c>
      <c r="E17" s="9">
        <f>D17*9.81</f>
        <v>0.39240000000000003</v>
      </c>
      <c r="F17" s="9">
        <f>E17*COS(C17*PI()/180)</f>
        <v>0.3621170037192743</v>
      </c>
      <c r="G17" s="9">
        <f>B17</f>
        <v>3.5188000000000004E-2</v>
      </c>
      <c r="H17" s="23">
        <f>ABS(F17*G17)</f>
        <v>1.2742173126873825E-2</v>
      </c>
      <c r="I17" s="1"/>
    </row>
    <row r="18" spans="1:9">
      <c r="A18" s="42" t="s">
        <v>10</v>
      </c>
      <c r="B18" s="43"/>
      <c r="C18" s="43"/>
      <c r="D18" s="43"/>
      <c r="E18" s="43"/>
      <c r="F18" s="43"/>
      <c r="G18" s="43"/>
      <c r="H18" s="44"/>
      <c r="I18" s="1"/>
    </row>
    <row r="19" spans="1:9">
      <c r="A19" s="15" t="s">
        <v>0</v>
      </c>
      <c r="B19" s="16" t="s">
        <v>1</v>
      </c>
      <c r="C19" s="16" t="s">
        <v>2</v>
      </c>
      <c r="D19" s="16" t="s">
        <v>3</v>
      </c>
      <c r="E19" s="16" t="s">
        <v>4</v>
      </c>
      <c r="F19" s="16" t="s">
        <v>5</v>
      </c>
      <c r="G19" s="16" t="s">
        <v>6</v>
      </c>
      <c r="H19" s="17" t="s">
        <v>7</v>
      </c>
      <c r="I19" s="1"/>
    </row>
    <row r="20" spans="1:9">
      <c r="A20" s="12">
        <f>(129.327-96.577)/1000</f>
        <v>3.2750000000000001E-2</v>
      </c>
      <c r="B20" s="13">
        <f>78.598/1000</f>
        <v>7.8598000000000001E-2</v>
      </c>
      <c r="C20" s="9">
        <f>ASIN(A20/B20)*(180/PI())</f>
        <v>24.62498660193323</v>
      </c>
      <c r="D20" s="13">
        <v>8.2000000000000003E-2</v>
      </c>
      <c r="E20" s="9">
        <f>D20*9.81</f>
        <v>0.80442000000000002</v>
      </c>
      <c r="F20" s="9">
        <f>E20*COS(C20*PI()/180)</f>
        <v>0.73126160735565204</v>
      </c>
      <c r="G20" s="9">
        <f>B20</f>
        <v>7.8598000000000001E-2</v>
      </c>
      <c r="H20" s="23">
        <f>ABS(F20*G20)</f>
        <v>5.7475699814939538E-2</v>
      </c>
      <c r="I20" s="1"/>
    </row>
    <row r="21" spans="1:9">
      <c r="A21" s="42" t="s">
        <v>11</v>
      </c>
      <c r="B21" s="43"/>
      <c r="C21" s="43"/>
      <c r="D21" s="43"/>
      <c r="E21" s="43"/>
      <c r="F21" s="43"/>
      <c r="G21" s="43"/>
      <c r="H21" s="44"/>
      <c r="I21" s="1"/>
    </row>
    <row r="22" spans="1:9">
      <c r="A22" s="15" t="s">
        <v>0</v>
      </c>
      <c r="B22" s="16" t="s">
        <v>1</v>
      </c>
      <c r="C22" s="16" t="s">
        <v>2</v>
      </c>
      <c r="D22" s="16" t="s">
        <v>3</v>
      </c>
      <c r="E22" s="16" t="s">
        <v>4</v>
      </c>
      <c r="F22" s="16" t="s">
        <v>5</v>
      </c>
      <c r="G22" s="16" t="s">
        <v>6</v>
      </c>
      <c r="H22" s="17" t="s">
        <v>7</v>
      </c>
      <c r="I22" s="1"/>
    </row>
    <row r="23" spans="1:9">
      <c r="A23" s="12">
        <f>(141.892-96.577)/1000</f>
        <v>4.5315000000000001E-2</v>
      </c>
      <c r="B23" s="13">
        <f>132.927/1000</f>
        <v>0.13292699999999999</v>
      </c>
      <c r="C23" s="9">
        <f>ASIN(A23/B23)*(180/PI())</f>
        <v>19.931801554860151</v>
      </c>
      <c r="D23" s="13">
        <v>8.6999999999999994E-2</v>
      </c>
      <c r="E23" s="9">
        <f>D23*9.81</f>
        <v>0.85346999999999995</v>
      </c>
      <c r="F23" s="9">
        <f>E23*COS(C23*PI()/180)</f>
        <v>0.80234634242569114</v>
      </c>
      <c r="G23" s="9">
        <f>B23</f>
        <v>0.13292699999999999</v>
      </c>
      <c r="H23" s="23">
        <f>ABS(F23*G23)</f>
        <v>0.10665349225961984</v>
      </c>
      <c r="I23" s="1"/>
    </row>
    <row r="24" spans="1:9">
      <c r="A24" s="42" t="s">
        <v>13</v>
      </c>
      <c r="B24" s="43"/>
      <c r="C24" s="43"/>
      <c r="D24" s="43"/>
      <c r="E24" s="43"/>
      <c r="F24" s="43"/>
      <c r="G24" s="43"/>
      <c r="H24" s="44"/>
      <c r="I24" s="1"/>
    </row>
    <row r="25" spans="1:9">
      <c r="A25" s="15" t="s">
        <v>0</v>
      </c>
      <c r="B25" s="16" t="s">
        <v>1</v>
      </c>
      <c r="C25" s="16" t="s">
        <v>2</v>
      </c>
      <c r="D25" s="16" t="s">
        <v>3</v>
      </c>
      <c r="E25" s="16" t="s">
        <v>4</v>
      </c>
      <c r="F25" s="16" t="s">
        <v>5</v>
      </c>
      <c r="G25" s="16" t="s">
        <v>6</v>
      </c>
      <c r="H25" s="17" t="s">
        <v>7</v>
      </c>
      <c r="I25" s="1"/>
    </row>
    <row r="26" spans="1:9">
      <c r="A26" s="12">
        <f>(252.201-96.577)/1000</f>
        <v>0.15562399999999998</v>
      </c>
      <c r="B26" s="13">
        <f>192.498/1000</f>
        <v>0.192498</v>
      </c>
      <c r="C26" s="9">
        <f>ASIN(A26/B26)*(180/PI())</f>
        <v>53.944257690595421</v>
      </c>
      <c r="D26" s="13">
        <v>2.06</v>
      </c>
      <c r="E26" s="9">
        <f>D26*9.81</f>
        <v>20.208600000000001</v>
      </c>
      <c r="F26" s="9">
        <f>E26*COS(C26*PI()/180)</f>
        <v>11.894217250414549</v>
      </c>
      <c r="G26" s="9">
        <f>B26</f>
        <v>0.192498</v>
      </c>
      <c r="H26" s="23">
        <f>ABS(F26*G26)</f>
        <v>2.2896130322702999</v>
      </c>
      <c r="I26" s="1"/>
    </row>
    <row r="27" spans="1:9">
      <c r="A27" s="45"/>
      <c r="B27" s="46"/>
      <c r="C27" s="46"/>
      <c r="D27" s="46"/>
      <c r="E27" s="46"/>
      <c r="F27" s="46"/>
      <c r="G27" s="46"/>
      <c r="H27" s="47"/>
      <c r="I27" s="1"/>
    </row>
    <row r="28" spans="1:9" ht="15.75" thickBot="1">
      <c r="A28" s="48" t="s">
        <v>14</v>
      </c>
      <c r="B28" s="49"/>
      <c r="C28" s="49"/>
      <c r="D28" s="49"/>
      <c r="E28" s="49"/>
      <c r="F28" s="49"/>
      <c r="G28" s="49"/>
      <c r="H28" s="11">
        <f>SUM(H17+H20+H23+H26)</f>
        <v>2.4664843974717332</v>
      </c>
      <c r="I28" s="1"/>
    </row>
    <row r="29" spans="1:9" ht="15.75" thickTop="1"/>
    <row r="30" spans="1:9">
      <c r="A30" s="29" t="s">
        <v>19</v>
      </c>
      <c r="B30" s="29"/>
      <c r="C30" s="29"/>
      <c r="D30" s="29"/>
      <c r="E30" s="29"/>
      <c r="F30" s="29"/>
      <c r="G30" s="29"/>
      <c r="H30" s="29"/>
    </row>
  </sheetData>
  <mergeCells count="14">
    <mergeCell ref="A15:H15"/>
    <mergeCell ref="A1:H1"/>
    <mergeCell ref="A12:G12"/>
    <mergeCell ref="A14:H14"/>
    <mergeCell ref="A2:H2"/>
    <mergeCell ref="A5:H5"/>
    <mergeCell ref="A8:H8"/>
    <mergeCell ref="A11:H11"/>
    <mergeCell ref="A18:H18"/>
    <mergeCell ref="A21:H21"/>
    <mergeCell ref="A24:H24"/>
    <mergeCell ref="A27:H27"/>
    <mergeCell ref="A30:H30"/>
    <mergeCell ref="A28:G28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activeCell="A27" sqref="A27:H27"/>
    </sheetView>
  </sheetViews>
  <sheetFormatPr defaultRowHeight="15"/>
  <cols>
    <col min="1" max="1" width="10.85546875" customWidth="1"/>
    <col min="2" max="2" width="5.85546875" bestFit="1" customWidth="1"/>
    <col min="3" max="3" width="13.7109375" bestFit="1" customWidth="1"/>
    <col min="4" max="4" width="10.28515625" bestFit="1" customWidth="1"/>
    <col min="5" max="5" width="8.5703125" bestFit="1" customWidth="1"/>
    <col min="6" max="6" width="8.7109375" bestFit="1" customWidth="1"/>
    <col min="7" max="7" width="9.42578125" bestFit="1" customWidth="1"/>
    <col min="8" max="8" width="15.42578125" bestFit="1" customWidth="1"/>
  </cols>
  <sheetData>
    <row r="1" spans="1:8" ht="15.75" thickTop="1">
      <c r="A1" s="24" t="s">
        <v>8</v>
      </c>
      <c r="B1" s="25"/>
      <c r="C1" s="25"/>
      <c r="D1" s="25"/>
      <c r="E1" s="25"/>
      <c r="F1" s="25"/>
      <c r="G1" s="25"/>
      <c r="H1" s="26"/>
    </row>
    <row r="2" spans="1:8">
      <c r="A2" s="33" t="s">
        <v>16</v>
      </c>
      <c r="B2" s="34"/>
      <c r="C2" s="34"/>
      <c r="D2" s="34"/>
      <c r="E2" s="34"/>
      <c r="F2" s="34"/>
      <c r="G2" s="34"/>
      <c r="H2" s="35"/>
    </row>
    <row r="3" spans="1:8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6" t="s">
        <v>7</v>
      </c>
    </row>
    <row r="4" spans="1:8">
      <c r="A4" s="12">
        <f>(129.798-45)/1000</f>
        <v>8.4797999999999998E-2</v>
      </c>
      <c r="B4" s="13">
        <f>88.732/1000</f>
        <v>8.8732000000000005E-2</v>
      </c>
      <c r="C4" s="9">
        <f>ASIN(A4/B4)*(180/PI())</f>
        <v>72.874926618673484</v>
      </c>
      <c r="D4" s="13">
        <v>0.187</v>
      </c>
      <c r="E4" s="9">
        <f>D4*9.81</f>
        <v>1.83447</v>
      </c>
      <c r="F4" s="9">
        <f>E4*COS(C4*PI()/180)</f>
        <v>0.54017540294411104</v>
      </c>
      <c r="G4" s="9">
        <f>B4</f>
        <v>8.8732000000000005E-2</v>
      </c>
      <c r="H4" s="10">
        <f>ABS(F4*G4)</f>
        <v>4.7930843854036863E-2</v>
      </c>
    </row>
    <row r="5" spans="1:8">
      <c r="A5" s="55" t="s">
        <v>9</v>
      </c>
      <c r="B5" s="56"/>
      <c r="C5" s="56"/>
      <c r="D5" s="56"/>
      <c r="E5" s="56"/>
      <c r="F5" s="56"/>
      <c r="G5" s="56"/>
      <c r="H5" s="57"/>
    </row>
    <row r="6" spans="1:8">
      <c r="A6" s="15" t="s">
        <v>0</v>
      </c>
      <c r="B6" s="16" t="s">
        <v>1</v>
      </c>
      <c r="C6" s="16" t="s">
        <v>2</v>
      </c>
      <c r="D6" s="16" t="s">
        <v>3</v>
      </c>
      <c r="E6" s="16" t="s">
        <v>4</v>
      </c>
      <c r="F6" s="16" t="s">
        <v>5</v>
      </c>
      <c r="G6" s="16" t="s">
        <v>6</v>
      </c>
      <c r="H6" s="17" t="s">
        <v>7</v>
      </c>
    </row>
    <row r="7" spans="1:8">
      <c r="A7" s="12">
        <f>(204.022-45)/1000</f>
        <v>0.159022</v>
      </c>
      <c r="B7" s="13">
        <f>167.189/1000</f>
        <v>0.167189</v>
      </c>
      <c r="C7" s="9">
        <f>ASIN(A7/B7)*(180/PI())</f>
        <v>72.017543923816575</v>
      </c>
      <c r="D7" s="13">
        <v>0.04</v>
      </c>
      <c r="E7" s="9">
        <f>D7*9.81</f>
        <v>0.39240000000000003</v>
      </c>
      <c r="F7" s="9">
        <f>E7*COS(C7*PI()/180)</f>
        <v>0.1211439910163231</v>
      </c>
      <c r="G7" s="9">
        <f>B7</f>
        <v>0.167189</v>
      </c>
      <c r="H7" s="10">
        <f>ABS(F7*G7)</f>
        <v>2.0253942714028042E-2</v>
      </c>
    </row>
    <row r="8" spans="1:8">
      <c r="A8" s="42" t="s">
        <v>10</v>
      </c>
      <c r="B8" s="43"/>
      <c r="C8" s="43"/>
      <c r="D8" s="43"/>
      <c r="E8" s="43"/>
      <c r="F8" s="43"/>
      <c r="G8" s="43"/>
      <c r="H8" s="44"/>
    </row>
    <row r="9" spans="1:8">
      <c r="A9" s="15" t="s">
        <v>0</v>
      </c>
      <c r="B9" s="16" t="s">
        <v>1</v>
      </c>
      <c r="C9" s="16" t="s">
        <v>2</v>
      </c>
      <c r="D9" s="16" t="s">
        <v>3</v>
      </c>
      <c r="E9" s="16" t="s">
        <v>4</v>
      </c>
      <c r="F9" s="16" t="s">
        <v>5</v>
      </c>
      <c r="G9" s="16" t="s">
        <v>6</v>
      </c>
      <c r="H9" s="17" t="s">
        <v>7</v>
      </c>
    </row>
    <row r="10" spans="1:8">
      <c r="A10" s="12">
        <f>(243.966-45)/1000</f>
        <v>0.198966</v>
      </c>
      <c r="B10" s="13">
        <f>210.56/1000</f>
        <v>0.21056</v>
      </c>
      <c r="C10" s="9">
        <f>ASIN(A10/B10)*(180/PI())</f>
        <v>70.897968574180084</v>
      </c>
      <c r="D10" s="13">
        <v>8.2000000000000003E-2</v>
      </c>
      <c r="E10" s="9">
        <f>D10*9.81</f>
        <v>0.80442000000000002</v>
      </c>
      <c r="F10" s="9">
        <f>E10*COS(C10*PI()/180)</f>
        <v>0.26324757279875138</v>
      </c>
      <c r="G10" s="9">
        <f>B10</f>
        <v>0.21056</v>
      </c>
      <c r="H10" s="10">
        <f>ABS(F10*G10)</f>
        <v>5.5429408928505092E-2</v>
      </c>
    </row>
    <row r="11" spans="1:8">
      <c r="A11" s="42" t="s">
        <v>11</v>
      </c>
      <c r="B11" s="43"/>
      <c r="C11" s="43"/>
      <c r="D11" s="43"/>
      <c r="E11" s="43"/>
      <c r="F11" s="43"/>
      <c r="G11" s="43"/>
      <c r="H11" s="44"/>
    </row>
    <row r="12" spans="1:8">
      <c r="A12" s="15" t="s">
        <v>0</v>
      </c>
      <c r="B12" s="16" t="s">
        <v>1</v>
      </c>
      <c r="C12" s="16" t="s">
        <v>2</v>
      </c>
      <c r="D12" s="16" t="s">
        <v>3</v>
      </c>
      <c r="E12" s="16" t="s">
        <v>4</v>
      </c>
      <c r="F12" s="16" t="s">
        <v>5</v>
      </c>
      <c r="G12" s="16" t="s">
        <v>6</v>
      </c>
      <c r="H12" s="17" t="s">
        <v>7</v>
      </c>
    </row>
    <row r="13" spans="1:8">
      <c r="A13" s="12">
        <f>(298.033-45)/1000</f>
        <v>0.25303300000000001</v>
      </c>
      <c r="B13" s="13">
        <f>264.879/1000</f>
        <v>0.26487900000000003</v>
      </c>
      <c r="C13" s="9">
        <f>ASIN(A13/B13)*(180/PI())</f>
        <v>72.799870320420837</v>
      </c>
      <c r="D13" s="13">
        <v>8.6999999999999994E-2</v>
      </c>
      <c r="E13" s="9">
        <f>D13*9.81</f>
        <v>0.85346999999999995</v>
      </c>
      <c r="F13" s="9">
        <f>E13*COS(C13*PI()/180)</f>
        <v>0.25237979477120676</v>
      </c>
      <c r="G13" s="9">
        <f>B13</f>
        <v>0.26487900000000003</v>
      </c>
      <c r="H13" s="10">
        <f>ABS(F13*G13)</f>
        <v>6.6850107659202476E-2</v>
      </c>
    </row>
    <row r="14" spans="1:8">
      <c r="A14" s="42" t="s">
        <v>13</v>
      </c>
      <c r="B14" s="43"/>
      <c r="C14" s="43"/>
      <c r="D14" s="43"/>
      <c r="E14" s="43"/>
      <c r="F14" s="43"/>
      <c r="G14" s="43"/>
      <c r="H14" s="44"/>
    </row>
    <row r="15" spans="1:8">
      <c r="A15" s="15" t="s">
        <v>0</v>
      </c>
      <c r="B15" s="16" t="s">
        <v>1</v>
      </c>
      <c r="C15" s="16" t="s">
        <v>2</v>
      </c>
      <c r="D15" s="16" t="s">
        <v>3</v>
      </c>
      <c r="E15" s="16" t="s">
        <v>4</v>
      </c>
      <c r="F15" s="16" t="s">
        <v>5</v>
      </c>
      <c r="G15" s="16" t="s">
        <v>6</v>
      </c>
      <c r="H15" s="17" t="s">
        <v>7</v>
      </c>
    </row>
    <row r="16" spans="1:8">
      <c r="A16" s="12">
        <f>(390.279-45)/1000</f>
        <v>0.345279</v>
      </c>
      <c r="B16" s="13">
        <f>364.178/1000</f>
        <v>0.364178</v>
      </c>
      <c r="C16" s="9">
        <f>ASIN(A16/B16)*(180/PI())</f>
        <v>71.460566511825689</v>
      </c>
      <c r="D16" s="13">
        <v>2.06</v>
      </c>
      <c r="E16" s="9">
        <f>D16*9.81</f>
        <v>20.208600000000001</v>
      </c>
      <c r="F16" s="9">
        <f>E16*COS(C16*PI()/180)</f>
        <v>6.425471073574081</v>
      </c>
      <c r="G16" s="9">
        <f>B16</f>
        <v>0.364178</v>
      </c>
      <c r="H16" s="10">
        <f>ABS(F16*G16)</f>
        <v>2.3400152046320617</v>
      </c>
    </row>
    <row r="17" spans="1:8">
      <c r="A17" s="45"/>
      <c r="B17" s="46"/>
      <c r="C17" s="46"/>
      <c r="D17" s="46"/>
      <c r="E17" s="46"/>
      <c r="F17" s="46"/>
      <c r="G17" s="46"/>
      <c r="H17" s="47"/>
    </row>
    <row r="18" spans="1:8" ht="15.75" thickBot="1">
      <c r="A18" s="61" t="s">
        <v>14</v>
      </c>
      <c r="B18" s="62"/>
      <c r="C18" s="62"/>
      <c r="D18" s="62"/>
      <c r="E18" s="62"/>
      <c r="F18" s="62"/>
      <c r="G18" s="63"/>
      <c r="H18" s="11">
        <f>SUM(H4+H7+H10+H13+H16)</f>
        <v>2.5304795077878341</v>
      </c>
    </row>
    <row r="19" spans="1:8" ht="16.5" thickTop="1" thickBot="1"/>
    <row r="20" spans="1:8" ht="15.75" thickTop="1">
      <c r="A20" s="24" t="s">
        <v>18</v>
      </c>
      <c r="B20" s="25"/>
      <c r="C20" s="25"/>
      <c r="D20" s="25"/>
      <c r="E20" s="25"/>
      <c r="F20" s="25"/>
      <c r="G20" s="25"/>
      <c r="H20" s="26"/>
    </row>
    <row r="21" spans="1:8">
      <c r="A21" s="36" t="s">
        <v>13</v>
      </c>
      <c r="B21" s="37"/>
      <c r="C21" s="37"/>
      <c r="D21" s="37"/>
      <c r="E21" s="37"/>
      <c r="F21" s="37"/>
      <c r="G21" s="37"/>
      <c r="H21" s="38"/>
    </row>
    <row r="22" spans="1:8">
      <c r="A22" s="4" t="s">
        <v>0</v>
      </c>
      <c r="B22" s="5" t="s">
        <v>1</v>
      </c>
      <c r="C22" s="5" t="s">
        <v>2</v>
      </c>
      <c r="D22" s="5" t="s">
        <v>3</v>
      </c>
      <c r="E22" s="5" t="s">
        <v>4</v>
      </c>
      <c r="F22" s="5" t="s">
        <v>5</v>
      </c>
      <c r="G22" s="5" t="s">
        <v>6</v>
      </c>
      <c r="H22" s="6" t="s">
        <v>7</v>
      </c>
    </row>
    <row r="23" spans="1:8">
      <c r="A23" s="7">
        <f>(388.151-285.561)/1000</f>
        <v>0.10259000000000003</v>
      </c>
      <c r="B23" s="8">
        <f>108.177/1000</f>
        <v>0.10817700000000001</v>
      </c>
      <c r="C23" s="9">
        <f>ASIN(A23/B23)*(180/PI())</f>
        <v>71.505328780118219</v>
      </c>
      <c r="D23" s="8">
        <v>2.06</v>
      </c>
      <c r="E23" s="9">
        <f>D23*9.81</f>
        <v>20.208600000000001</v>
      </c>
      <c r="F23" s="9">
        <f>E23*COS(C23*PI()/180)</f>
        <v>6.4105004812227193</v>
      </c>
      <c r="G23" s="9">
        <f>B23</f>
        <v>0.10817700000000001</v>
      </c>
      <c r="H23" s="10">
        <f>ABS(F23*G23)</f>
        <v>0.69346871055723014</v>
      </c>
    </row>
    <row r="24" spans="1:8">
      <c r="A24" s="58"/>
      <c r="B24" s="59"/>
      <c r="C24" s="59"/>
      <c r="D24" s="59"/>
      <c r="E24" s="59"/>
      <c r="F24" s="59"/>
      <c r="G24" s="59"/>
      <c r="H24" s="60"/>
    </row>
    <row r="25" spans="1:8" ht="15.75" thickBot="1">
      <c r="A25" s="27" t="s">
        <v>14</v>
      </c>
      <c r="B25" s="28"/>
      <c r="C25" s="28"/>
      <c r="D25" s="28"/>
      <c r="E25" s="28"/>
      <c r="F25" s="28"/>
      <c r="G25" s="28"/>
      <c r="H25" s="11">
        <f>SUM(H23)</f>
        <v>0.69346871055723014</v>
      </c>
    </row>
    <row r="26" spans="1:8" ht="15.75" thickTop="1"/>
    <row r="27" spans="1:8">
      <c r="A27" s="29" t="s">
        <v>19</v>
      </c>
      <c r="B27" s="29"/>
      <c r="C27" s="29"/>
      <c r="D27" s="29"/>
      <c r="E27" s="29"/>
      <c r="F27" s="29"/>
      <c r="G27" s="29"/>
      <c r="H27" s="29"/>
    </row>
  </sheetData>
  <mergeCells count="13">
    <mergeCell ref="A1:H1"/>
    <mergeCell ref="A18:G18"/>
    <mergeCell ref="A27:H27"/>
    <mergeCell ref="A2:H2"/>
    <mergeCell ref="A5:H5"/>
    <mergeCell ref="A8:H8"/>
    <mergeCell ref="A11:H11"/>
    <mergeCell ref="A14:H14"/>
    <mergeCell ref="A17:H17"/>
    <mergeCell ref="A20:H20"/>
    <mergeCell ref="A21:H21"/>
    <mergeCell ref="A24:H24"/>
    <mergeCell ref="A25:G2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activeCell="A20" sqref="A20:XFD25"/>
    </sheetView>
  </sheetViews>
  <sheetFormatPr defaultRowHeight="15"/>
  <cols>
    <col min="2" max="2" width="5.85546875" bestFit="1" customWidth="1"/>
    <col min="3" max="3" width="13.7109375" bestFit="1" customWidth="1"/>
    <col min="4" max="4" width="10.28515625" bestFit="1" customWidth="1"/>
    <col min="5" max="5" width="8.5703125" bestFit="1" customWidth="1"/>
    <col min="6" max="6" width="8.7109375" bestFit="1" customWidth="1"/>
    <col min="7" max="7" width="9.42578125" bestFit="1" customWidth="1"/>
    <col min="8" max="8" width="15.42578125" bestFit="1" customWidth="1"/>
  </cols>
  <sheetData>
    <row r="1" spans="1:8" ht="15.75" thickTop="1">
      <c r="A1" s="52" t="s">
        <v>8</v>
      </c>
      <c r="B1" s="53"/>
      <c r="C1" s="53"/>
      <c r="D1" s="53"/>
      <c r="E1" s="53"/>
      <c r="F1" s="53"/>
      <c r="G1" s="53"/>
      <c r="H1" s="54"/>
    </row>
    <row r="2" spans="1:8">
      <c r="A2" s="66" t="s">
        <v>16</v>
      </c>
      <c r="B2" s="67"/>
      <c r="C2" s="2"/>
      <c r="D2" s="2"/>
      <c r="E2" s="2"/>
      <c r="F2" s="2"/>
      <c r="G2" s="2"/>
      <c r="H2" s="3"/>
    </row>
    <row r="3" spans="1:8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6" t="s">
        <v>7</v>
      </c>
    </row>
    <row r="4" spans="1:8">
      <c r="A4" s="12">
        <f>(103.775-45)/1000</f>
        <v>5.8775000000000008E-2</v>
      </c>
      <c r="B4" s="13">
        <f>88.732/1000</f>
        <v>8.8732000000000005E-2</v>
      </c>
      <c r="C4" s="9">
        <f>ASIN(A4/B4)*(180/PI())</f>
        <v>41.482240180110317</v>
      </c>
      <c r="D4" s="13">
        <v>0.187</v>
      </c>
      <c r="E4" s="9">
        <f>D4*9.81</f>
        <v>1.83447</v>
      </c>
      <c r="F4" s="9">
        <f>E4*COS(C4*PI()/180)</f>
        <v>1.3743135179417263</v>
      </c>
      <c r="G4" s="9">
        <f>B4</f>
        <v>8.8732000000000005E-2</v>
      </c>
      <c r="H4" s="10">
        <f>ABS(F4*G4)</f>
        <v>0.12194558707400527</v>
      </c>
    </row>
    <row r="5" spans="1:8">
      <c r="A5" s="68" t="s">
        <v>9</v>
      </c>
      <c r="B5" s="69"/>
      <c r="C5" s="18"/>
      <c r="D5" s="18"/>
      <c r="E5" s="18"/>
      <c r="F5" s="18"/>
      <c r="G5" s="18"/>
      <c r="H5" s="19"/>
    </row>
    <row r="6" spans="1:8">
      <c r="A6" s="15" t="s">
        <v>0</v>
      </c>
      <c r="B6" s="16" t="s">
        <v>1</v>
      </c>
      <c r="C6" s="16" t="s">
        <v>2</v>
      </c>
      <c r="D6" s="16" t="s">
        <v>3</v>
      </c>
      <c r="E6" s="16" t="s">
        <v>4</v>
      </c>
      <c r="F6" s="16" t="s">
        <v>5</v>
      </c>
      <c r="G6" s="16" t="s">
        <v>6</v>
      </c>
      <c r="H6" s="17" t="s">
        <v>7</v>
      </c>
    </row>
    <row r="7" spans="1:8">
      <c r="A7" s="12">
        <f>(155.339-45)/1000</f>
        <v>0.11033899999999999</v>
      </c>
      <c r="B7" s="13">
        <f>167.189/1000</f>
        <v>0.167189</v>
      </c>
      <c r="C7" s="9">
        <f>ASIN(A7/B7)*(180/PI())</f>
        <v>41.297254460362709</v>
      </c>
      <c r="D7" s="13">
        <v>0.04</v>
      </c>
      <c r="E7" s="9">
        <f>D7*9.81</f>
        <v>0.39240000000000003</v>
      </c>
      <c r="F7" s="9">
        <f>E7*COS(C7*PI()/180)</f>
        <v>0.29480845585794263</v>
      </c>
      <c r="G7" s="9">
        <f>B7</f>
        <v>0.167189</v>
      </c>
      <c r="H7" s="10">
        <f>ABS(F7*G7)</f>
        <v>4.9288730926433572E-2</v>
      </c>
    </row>
    <row r="8" spans="1:8">
      <c r="A8" s="64" t="s">
        <v>10</v>
      </c>
      <c r="B8" s="65"/>
      <c r="C8" s="9"/>
      <c r="D8" s="9"/>
      <c r="E8" s="9"/>
      <c r="F8" s="9"/>
      <c r="G8" s="9"/>
      <c r="H8" s="14"/>
    </row>
    <row r="9" spans="1:8">
      <c r="A9" s="15" t="s">
        <v>0</v>
      </c>
      <c r="B9" s="16" t="s">
        <v>1</v>
      </c>
      <c r="C9" s="16" t="s">
        <v>2</v>
      </c>
      <c r="D9" s="16" t="s">
        <v>3</v>
      </c>
      <c r="E9" s="16" t="s">
        <v>4</v>
      </c>
      <c r="F9" s="16" t="s">
        <v>5</v>
      </c>
      <c r="G9" s="16" t="s">
        <v>6</v>
      </c>
      <c r="H9" s="17" t="s">
        <v>7</v>
      </c>
    </row>
    <row r="10" spans="1:8">
      <c r="A10" s="12">
        <f>(181.367-45)/1000</f>
        <v>0.13636699999999999</v>
      </c>
      <c r="B10" s="13">
        <f>210.56/1000</f>
        <v>0.21056</v>
      </c>
      <c r="C10" s="9">
        <f>ASIN(A10/B10)*(180/PI())</f>
        <v>40.363875408894188</v>
      </c>
      <c r="D10" s="13">
        <v>8.2000000000000003E-2</v>
      </c>
      <c r="E10" s="9">
        <f>D10*9.81</f>
        <v>0.80442000000000002</v>
      </c>
      <c r="F10" s="9">
        <f>E10*COS(C10*PI()/180)</f>
        <v>0.61292523781141117</v>
      </c>
      <c r="G10" s="9">
        <f>B10</f>
        <v>0.21056</v>
      </c>
      <c r="H10" s="10">
        <f>ABS(F10*G10)</f>
        <v>0.12905753807357073</v>
      </c>
    </row>
    <row r="11" spans="1:8">
      <c r="A11" s="64" t="s">
        <v>11</v>
      </c>
      <c r="B11" s="65"/>
      <c r="C11" s="9"/>
      <c r="D11" s="9"/>
      <c r="E11" s="9"/>
      <c r="F11" s="9"/>
      <c r="G11" s="9"/>
      <c r="H11" s="14"/>
    </row>
    <row r="12" spans="1:8">
      <c r="A12" s="15" t="s">
        <v>0</v>
      </c>
      <c r="B12" s="16" t="s">
        <v>1</v>
      </c>
      <c r="C12" s="16" t="s">
        <v>2</v>
      </c>
      <c r="D12" s="16" t="s">
        <v>3</v>
      </c>
      <c r="E12" s="16" t="s">
        <v>4</v>
      </c>
      <c r="F12" s="16" t="s">
        <v>5</v>
      </c>
      <c r="G12" s="16" t="s">
        <v>6</v>
      </c>
      <c r="H12" s="17" t="s">
        <v>7</v>
      </c>
    </row>
    <row r="13" spans="1:8">
      <c r="A13" s="12">
        <f>(216.776-45)/1000</f>
        <v>0.17177600000000001</v>
      </c>
      <c r="B13" s="13">
        <f>264.879/1000</f>
        <v>0.26487900000000003</v>
      </c>
      <c r="C13" s="9">
        <f>ASIN(A13/B13)*(180/PI())</f>
        <v>40.4291629201158</v>
      </c>
      <c r="D13" s="13">
        <v>8.6999999999999994E-2</v>
      </c>
      <c r="E13" s="9">
        <f>D13*9.81</f>
        <v>0.85346999999999995</v>
      </c>
      <c r="F13" s="9">
        <f>E13*COS(C13*PI()/180)</f>
        <v>0.64966846744851847</v>
      </c>
      <c r="G13" s="9">
        <f>B13</f>
        <v>0.26487900000000003</v>
      </c>
      <c r="H13" s="10">
        <f>ABS(F13*G13)</f>
        <v>0.17208353398929616</v>
      </c>
    </row>
    <row r="14" spans="1:8">
      <c r="A14" s="64" t="s">
        <v>13</v>
      </c>
      <c r="B14" s="65"/>
      <c r="C14" s="9"/>
      <c r="D14" s="9"/>
      <c r="E14" s="9"/>
      <c r="F14" s="9"/>
      <c r="G14" s="9"/>
      <c r="H14" s="14"/>
    </row>
    <row r="15" spans="1:8">
      <c r="A15" s="15" t="s">
        <v>0</v>
      </c>
      <c r="B15" s="16" t="s">
        <v>1</v>
      </c>
      <c r="C15" s="16" t="s">
        <v>2</v>
      </c>
      <c r="D15" s="16" t="s">
        <v>3</v>
      </c>
      <c r="E15" s="16" t="s">
        <v>4</v>
      </c>
      <c r="F15" s="16" t="s">
        <v>5</v>
      </c>
      <c r="G15" s="16" t="s">
        <v>6</v>
      </c>
      <c r="H15" s="17" t="s">
        <v>7</v>
      </c>
    </row>
    <row r="16" spans="1:8">
      <c r="A16" s="12">
        <f>(284.576-45)/1000</f>
        <v>0.23957600000000001</v>
      </c>
      <c r="B16" s="13">
        <f>364.178/1000</f>
        <v>0.364178</v>
      </c>
      <c r="C16" s="9">
        <f>ASIN(A16/B16)*(180/PI())</f>
        <v>41.136420880307149</v>
      </c>
      <c r="D16" s="13">
        <v>2.06</v>
      </c>
      <c r="E16" s="9">
        <f>D16*9.81</f>
        <v>20.208600000000001</v>
      </c>
      <c r="F16" s="9">
        <f>E16*COS(C16*PI()/180)</f>
        <v>15.22001352666906</v>
      </c>
      <c r="G16" s="9">
        <f>B16</f>
        <v>0.364178</v>
      </c>
      <c r="H16" s="10">
        <f>ABS(F16*G16)</f>
        <v>5.5427940861152853</v>
      </c>
    </row>
    <row r="17" spans="1:8">
      <c r="A17" s="20"/>
      <c r="B17" s="21"/>
      <c r="C17" s="21"/>
      <c r="D17" s="21"/>
      <c r="E17" s="21"/>
      <c r="F17" s="21"/>
      <c r="G17" s="21"/>
      <c r="H17" s="22"/>
    </row>
    <row r="18" spans="1:8" ht="15.75" thickBot="1">
      <c r="A18" s="70" t="s">
        <v>14</v>
      </c>
      <c r="B18" s="71"/>
      <c r="C18" s="71"/>
      <c r="D18" s="71"/>
      <c r="E18" s="71"/>
      <c r="F18" s="71"/>
      <c r="G18" s="72"/>
      <c r="H18" s="11">
        <f>SUM(H4+H7+H10+H13+H16)</f>
        <v>6.015169476178591</v>
      </c>
    </row>
    <row r="19" spans="1:8" ht="16.5" thickTop="1" thickBot="1"/>
    <row r="20" spans="1:8" ht="15.75" thickTop="1">
      <c r="A20" s="52" t="s">
        <v>18</v>
      </c>
      <c r="B20" s="53"/>
      <c r="C20" s="53"/>
      <c r="D20" s="53"/>
      <c r="E20" s="53"/>
      <c r="F20" s="53"/>
      <c r="G20" s="53"/>
      <c r="H20" s="54"/>
    </row>
    <row r="21" spans="1:8">
      <c r="A21" s="73" t="s">
        <v>13</v>
      </c>
      <c r="B21" s="74"/>
      <c r="C21" s="74"/>
      <c r="D21" s="74"/>
      <c r="E21" s="74"/>
      <c r="F21" s="74"/>
      <c r="G21" s="74"/>
      <c r="H21" s="75"/>
    </row>
    <row r="22" spans="1:8">
      <c r="A22" s="4" t="s">
        <v>0</v>
      </c>
      <c r="B22" s="5" t="s">
        <v>1</v>
      </c>
      <c r="C22" s="5" t="s">
        <v>2</v>
      </c>
      <c r="D22" s="5" t="s">
        <v>3</v>
      </c>
      <c r="E22" s="5" t="s">
        <v>4</v>
      </c>
      <c r="F22" s="5" t="s">
        <v>5</v>
      </c>
      <c r="G22" s="5" t="s">
        <v>6</v>
      </c>
      <c r="H22" s="6" t="s">
        <v>7</v>
      </c>
    </row>
    <row r="23" spans="1:8">
      <c r="A23" s="7">
        <f>(279.729-209.554)/1000</f>
        <v>7.0174999999999987E-2</v>
      </c>
      <c r="B23" s="8">
        <f>108.177/1000</f>
        <v>0.10817700000000001</v>
      </c>
      <c r="C23" s="9">
        <f>ASIN(A23/B23)*(180/PI())</f>
        <v>40.44406272660104</v>
      </c>
      <c r="D23" s="8">
        <v>2.06</v>
      </c>
      <c r="E23" s="9">
        <f>D23*9.81</f>
        <v>20.208600000000001</v>
      </c>
      <c r="F23" s="9">
        <f>E23*COS(C23*PI()/180)</f>
        <v>15.379545921197879</v>
      </c>
      <c r="G23" s="9">
        <f>B23</f>
        <v>0.10817700000000001</v>
      </c>
      <c r="H23" s="10">
        <f>ABS(F23*G23)</f>
        <v>1.6637131391174231</v>
      </c>
    </row>
    <row r="24" spans="1:8">
      <c r="A24" s="76"/>
      <c r="B24" s="77"/>
      <c r="C24" s="77"/>
      <c r="D24" s="77"/>
      <c r="E24" s="77"/>
      <c r="F24" s="77"/>
      <c r="G24" s="77"/>
      <c r="H24" s="78"/>
    </row>
    <row r="25" spans="1:8" ht="15.75" thickBot="1">
      <c r="A25" s="79" t="s">
        <v>14</v>
      </c>
      <c r="B25" s="80"/>
      <c r="C25" s="80"/>
      <c r="D25" s="80"/>
      <c r="E25" s="80"/>
      <c r="F25" s="80"/>
      <c r="G25" s="80"/>
      <c r="H25" s="11">
        <f>SUM(H23)</f>
        <v>1.6637131391174231</v>
      </c>
    </row>
    <row r="26" spans="1:8" ht="15.75" thickTop="1"/>
    <row r="27" spans="1:8">
      <c r="A27" s="29" t="s">
        <v>19</v>
      </c>
      <c r="B27" s="29"/>
      <c r="C27" s="29"/>
      <c r="D27" s="29"/>
      <c r="E27" s="29"/>
      <c r="F27" s="29"/>
      <c r="G27" s="29"/>
      <c r="H27" s="29"/>
    </row>
  </sheetData>
  <mergeCells count="12">
    <mergeCell ref="A14:B14"/>
    <mergeCell ref="A27:H27"/>
    <mergeCell ref="A1:H1"/>
    <mergeCell ref="A2:B2"/>
    <mergeCell ref="A5:B5"/>
    <mergeCell ref="A8:B8"/>
    <mergeCell ref="A11:B11"/>
    <mergeCell ref="A18:G18"/>
    <mergeCell ref="A20:H20"/>
    <mergeCell ref="A21:H21"/>
    <mergeCell ref="A24:H24"/>
    <mergeCell ref="A25:G2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topLeftCell="A28" workbookViewId="0">
      <selection activeCell="G36" sqref="G36"/>
    </sheetView>
  </sheetViews>
  <sheetFormatPr defaultRowHeight="15"/>
  <cols>
    <col min="2" max="2" width="9.5703125" bestFit="1" customWidth="1"/>
    <col min="3" max="3" width="13.7109375" bestFit="1" customWidth="1"/>
    <col min="4" max="4" width="10.28515625" bestFit="1" customWidth="1"/>
    <col min="5" max="5" width="8.5703125" bestFit="1" customWidth="1"/>
    <col min="6" max="6" width="8.7109375" bestFit="1" customWidth="1"/>
    <col min="7" max="7" width="9.42578125" bestFit="1" customWidth="1"/>
    <col min="8" max="8" width="15.42578125" bestFit="1" customWidth="1"/>
  </cols>
  <sheetData>
    <row r="1" spans="1:8" ht="15.75" thickTop="1">
      <c r="A1" s="24" t="s">
        <v>8</v>
      </c>
      <c r="B1" s="25"/>
      <c r="C1" s="25"/>
      <c r="D1" s="25"/>
      <c r="E1" s="25"/>
      <c r="F1" s="25"/>
      <c r="G1" s="25"/>
      <c r="H1" s="26"/>
    </row>
    <row r="2" spans="1:8">
      <c r="A2" s="33" t="s">
        <v>9</v>
      </c>
      <c r="B2" s="34"/>
      <c r="C2" s="34"/>
      <c r="D2" s="34"/>
      <c r="E2" s="34"/>
      <c r="F2" s="34"/>
      <c r="G2" s="34"/>
      <c r="H2" s="35"/>
    </row>
    <row r="3" spans="1:8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6" t="s">
        <v>7</v>
      </c>
    </row>
    <row r="4" spans="1:8">
      <c r="A4" s="7">
        <f>(177-45)/1000</f>
        <v>0.13200000000000001</v>
      </c>
      <c r="B4" s="8">
        <f>135.874/1000</f>
        <v>0.13587399999999999</v>
      </c>
      <c r="C4" s="9">
        <f>ASIN(A4/B4)*(180/PI())</f>
        <v>76.285291928359399</v>
      </c>
      <c r="D4" s="8">
        <v>0.04</v>
      </c>
      <c r="E4" s="9">
        <f>D4*9.81</f>
        <v>0.39240000000000003</v>
      </c>
      <c r="F4" s="9">
        <f>E4*COS(C4*PI()/180)</f>
        <v>9.303315033247353E-2</v>
      </c>
      <c r="G4" s="9">
        <f>B4</f>
        <v>0.13587399999999999</v>
      </c>
      <c r="H4" s="10">
        <f>ABS(F4*G4)</f>
        <v>1.2640786268274508E-2</v>
      </c>
    </row>
    <row r="5" spans="1:8">
      <c r="A5" s="33" t="s">
        <v>10</v>
      </c>
      <c r="B5" s="34"/>
      <c r="C5" s="34"/>
      <c r="D5" s="34"/>
      <c r="E5" s="34"/>
      <c r="F5" s="34"/>
      <c r="G5" s="34"/>
      <c r="H5" s="35"/>
    </row>
    <row r="6" spans="1:8">
      <c r="A6" s="4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6" t="s">
        <v>7</v>
      </c>
    </row>
    <row r="7" spans="1:8">
      <c r="A7" s="7">
        <f>(177-45)/1000</f>
        <v>0.13200000000000001</v>
      </c>
      <c r="B7" s="8">
        <f>155.854/1000</f>
        <v>0.15585400000000002</v>
      </c>
      <c r="C7" s="9">
        <f>ASIN(A7/B7)*(180/PI())</f>
        <v>57.881091044027222</v>
      </c>
      <c r="D7" s="8">
        <v>8.2000000000000003E-2</v>
      </c>
      <c r="E7" s="9">
        <f>D7*9.81</f>
        <v>0.80442000000000002</v>
      </c>
      <c r="F7" s="9">
        <f>E7*COS(C7*PI()/180)</f>
        <v>0.42769251389323049</v>
      </c>
      <c r="G7" s="9">
        <f>B7</f>
        <v>0.15585400000000002</v>
      </c>
      <c r="H7" s="10">
        <f>ABS(F7*G7)</f>
        <v>6.6657589060315547E-2</v>
      </c>
    </row>
    <row r="8" spans="1:8">
      <c r="A8" s="33" t="s">
        <v>11</v>
      </c>
      <c r="B8" s="34"/>
      <c r="C8" s="34"/>
      <c r="D8" s="34"/>
      <c r="E8" s="34"/>
      <c r="F8" s="34"/>
      <c r="G8" s="34"/>
      <c r="H8" s="35"/>
    </row>
    <row r="9" spans="1:8">
      <c r="A9" s="4" t="s">
        <v>0</v>
      </c>
      <c r="B9" s="5" t="s">
        <v>1</v>
      </c>
      <c r="C9" s="5" t="s">
        <v>2</v>
      </c>
      <c r="D9" s="5" t="s">
        <v>3</v>
      </c>
      <c r="E9" s="5" t="s">
        <v>4</v>
      </c>
      <c r="F9" s="5" t="s">
        <v>5</v>
      </c>
      <c r="G9" s="5" t="s">
        <v>6</v>
      </c>
      <c r="H9" s="6" t="s">
        <v>7</v>
      </c>
    </row>
    <row r="10" spans="1:8">
      <c r="A10" s="7">
        <f>(177-45)/1000</f>
        <v>0.13200000000000001</v>
      </c>
      <c r="B10" s="8">
        <f>183.361/1000</f>
        <v>0.183361</v>
      </c>
      <c r="C10" s="9">
        <f>ASIN(A10/B10)*(180/PI())</f>
        <v>46.045511799660645</v>
      </c>
      <c r="D10" s="8">
        <v>8.6999999999999994E-2</v>
      </c>
      <c r="E10" s="9">
        <f>D10*9.81</f>
        <v>0.85346999999999995</v>
      </c>
      <c r="F10" s="9">
        <f>E10*COS(C10*PI()/180)</f>
        <v>0.59238222504543359</v>
      </c>
      <c r="G10" s="9">
        <f>B10</f>
        <v>0.183361</v>
      </c>
      <c r="H10" s="10">
        <f>ABS(F10*G10)</f>
        <v>0.10861979716655575</v>
      </c>
    </row>
    <row r="11" spans="1:8">
      <c r="A11" s="33" t="s">
        <v>13</v>
      </c>
      <c r="B11" s="34"/>
      <c r="C11" s="34"/>
      <c r="D11" s="34"/>
      <c r="E11" s="34"/>
      <c r="F11" s="34"/>
      <c r="G11" s="34"/>
      <c r="H11" s="35"/>
    </row>
    <row r="12" spans="1:8">
      <c r="A12" s="4" t="s">
        <v>0</v>
      </c>
      <c r="B12" s="5" t="s">
        <v>1</v>
      </c>
      <c r="C12" s="5" t="s">
        <v>2</v>
      </c>
      <c r="D12" s="5" t="s">
        <v>3</v>
      </c>
      <c r="E12" s="5" t="s">
        <v>4</v>
      </c>
      <c r="F12" s="5" t="s">
        <v>5</v>
      </c>
      <c r="G12" s="5" t="s">
        <v>6</v>
      </c>
      <c r="H12" s="6" t="s">
        <v>7</v>
      </c>
    </row>
    <row r="13" spans="1:8">
      <c r="A13" s="7">
        <f>(177-45)/1000</f>
        <v>0.13200000000000001</v>
      </c>
      <c r="B13" s="13">
        <f>266.954/1000</f>
        <v>0.26695400000000002</v>
      </c>
      <c r="C13" s="9">
        <f>ASIN(A13/B13)*(180/PI())</f>
        <v>29.634623801975984</v>
      </c>
      <c r="D13" s="8">
        <v>2.06</v>
      </c>
      <c r="E13" s="9">
        <f>D13*9.81</f>
        <v>20.208600000000001</v>
      </c>
      <c r="F13" s="9">
        <f>E13*COS(C13*PI()/180)</f>
        <v>17.565239984775662</v>
      </c>
      <c r="G13" s="9">
        <f>B13</f>
        <v>0.26695400000000002</v>
      </c>
      <c r="H13" s="10">
        <f>ABS(F13*G13)</f>
        <v>4.6891110748958029</v>
      </c>
    </row>
    <row r="14" spans="1:8">
      <c r="A14" s="30"/>
      <c r="B14" s="31"/>
      <c r="C14" s="31"/>
      <c r="D14" s="31"/>
      <c r="E14" s="31"/>
      <c r="F14" s="31"/>
      <c r="G14" s="31"/>
      <c r="H14" s="32"/>
    </row>
    <row r="15" spans="1:8" ht="15.75" thickBot="1">
      <c r="A15" s="27" t="s">
        <v>14</v>
      </c>
      <c r="B15" s="28"/>
      <c r="C15" s="28"/>
      <c r="D15" s="28"/>
      <c r="E15" s="28"/>
      <c r="F15" s="28"/>
      <c r="G15" s="28"/>
      <c r="H15" s="11">
        <f>SUM(H4+H7+H10+H13)</f>
        <v>4.8770292473909489</v>
      </c>
    </row>
    <row r="16" spans="1:8" ht="16.5" thickTop="1" thickBot="1">
      <c r="A16" s="1"/>
      <c r="B16" s="1"/>
      <c r="C16" s="1"/>
      <c r="D16" s="1"/>
      <c r="E16" s="1"/>
      <c r="F16" s="1"/>
      <c r="G16" s="1"/>
      <c r="H16" s="1"/>
    </row>
    <row r="17" spans="1:8" ht="15.75" thickTop="1">
      <c r="A17" s="24" t="s">
        <v>15</v>
      </c>
      <c r="B17" s="25"/>
      <c r="C17" s="25"/>
      <c r="D17" s="25"/>
      <c r="E17" s="25"/>
      <c r="F17" s="25"/>
      <c r="G17" s="25"/>
      <c r="H17" s="26"/>
    </row>
    <row r="18" spans="1:8">
      <c r="A18" s="36" t="s">
        <v>9</v>
      </c>
      <c r="B18" s="37"/>
      <c r="C18" s="37"/>
      <c r="D18" s="37"/>
      <c r="E18" s="37"/>
      <c r="F18" s="37"/>
      <c r="G18" s="37"/>
      <c r="H18" s="38"/>
    </row>
    <row r="19" spans="1:8">
      <c r="A19" s="4" t="s">
        <v>0</v>
      </c>
      <c r="B19" s="5" t="s">
        <v>1</v>
      </c>
      <c r="C19" s="5" t="s">
        <v>2</v>
      </c>
      <c r="D19" s="5" t="s">
        <v>3</v>
      </c>
      <c r="E19" s="5" t="s">
        <v>4</v>
      </c>
      <c r="F19" s="5" t="s">
        <v>5</v>
      </c>
      <c r="G19" s="5" t="s">
        <v>6</v>
      </c>
      <c r="H19" s="6" t="s">
        <v>7</v>
      </c>
    </row>
    <row r="20" spans="1:8">
      <c r="A20" s="7">
        <f>33.188/1000</f>
        <v>3.3188000000000002E-2</v>
      </c>
      <c r="B20" s="8">
        <f>33.188/1000</f>
        <v>3.3188000000000002E-2</v>
      </c>
      <c r="C20" s="9">
        <f>ACOS(A20/B20)*(180/PI())</f>
        <v>0</v>
      </c>
      <c r="D20" s="8">
        <v>0.04</v>
      </c>
      <c r="E20" s="9">
        <f>D20*9.81</f>
        <v>0.39240000000000003</v>
      </c>
      <c r="F20" s="9">
        <f>E20</f>
        <v>0.39240000000000003</v>
      </c>
      <c r="G20" s="9">
        <f>B20</f>
        <v>3.3188000000000002E-2</v>
      </c>
      <c r="H20" s="10">
        <f>F20*G20</f>
        <v>1.3022971200000002E-2</v>
      </c>
    </row>
    <row r="21" spans="1:8">
      <c r="A21" s="36" t="s">
        <v>10</v>
      </c>
      <c r="B21" s="37"/>
      <c r="C21" s="37"/>
      <c r="D21" s="37"/>
      <c r="E21" s="37"/>
      <c r="F21" s="37"/>
      <c r="G21" s="37"/>
      <c r="H21" s="38"/>
    </row>
    <row r="22" spans="1:8">
      <c r="A22" s="4" t="s">
        <v>0</v>
      </c>
      <c r="B22" s="5" t="s">
        <v>1</v>
      </c>
      <c r="C22" s="5" t="s">
        <v>2</v>
      </c>
      <c r="D22" s="5" t="s">
        <v>3</v>
      </c>
      <c r="E22" s="5" t="s">
        <v>4</v>
      </c>
      <c r="F22" s="5" t="s">
        <v>5</v>
      </c>
      <c r="G22" s="5" t="s">
        <v>6</v>
      </c>
      <c r="H22" s="6" t="s">
        <v>7</v>
      </c>
    </row>
    <row r="23" spans="1:8">
      <c r="A23" s="7">
        <f>78.598/1000</f>
        <v>7.8598000000000001E-2</v>
      </c>
      <c r="B23" s="8">
        <f>78.598/1000</f>
        <v>7.8598000000000001E-2</v>
      </c>
      <c r="C23" s="9">
        <f>ACOS(A23/B23)*(180/PI())</f>
        <v>0</v>
      </c>
      <c r="D23" s="8">
        <v>8.2000000000000003E-2</v>
      </c>
      <c r="E23" s="9">
        <f>D23*9.81</f>
        <v>0.80442000000000002</v>
      </c>
      <c r="F23" s="9">
        <f>E23</f>
        <v>0.80442000000000002</v>
      </c>
      <c r="G23" s="9">
        <f>B23</f>
        <v>7.8598000000000001E-2</v>
      </c>
      <c r="H23" s="10">
        <f>F23*G23</f>
        <v>6.3225803159999996E-2</v>
      </c>
    </row>
    <row r="24" spans="1:8">
      <c r="A24" s="36" t="s">
        <v>11</v>
      </c>
      <c r="B24" s="37"/>
      <c r="C24" s="37"/>
      <c r="D24" s="37"/>
      <c r="E24" s="37"/>
      <c r="F24" s="37"/>
      <c r="G24" s="37"/>
      <c r="H24" s="38"/>
    </row>
    <row r="25" spans="1:8">
      <c r="A25" s="4" t="s">
        <v>0</v>
      </c>
      <c r="B25" s="5" t="s">
        <v>1</v>
      </c>
      <c r="C25" s="5" t="s">
        <v>2</v>
      </c>
      <c r="D25" s="5" t="s">
        <v>3</v>
      </c>
      <c r="E25" s="5" t="s">
        <v>4</v>
      </c>
      <c r="F25" s="5" t="s">
        <v>5</v>
      </c>
      <c r="G25" s="5" t="s">
        <v>6</v>
      </c>
      <c r="H25" s="6" t="s">
        <v>7</v>
      </c>
    </row>
    <row r="26" spans="1:8">
      <c r="A26" s="7">
        <f>132/1000</f>
        <v>0.13200000000000001</v>
      </c>
      <c r="B26" s="8">
        <f>132/1000</f>
        <v>0.13200000000000001</v>
      </c>
      <c r="C26" s="9">
        <f>ACOS(A26/B26)*(180/PI())</f>
        <v>0</v>
      </c>
      <c r="D26" s="8">
        <v>8.6999999999999994E-2</v>
      </c>
      <c r="E26" s="9">
        <f>D26*9.81</f>
        <v>0.85346999999999995</v>
      </c>
      <c r="F26" s="9">
        <f>E26</f>
        <v>0.85346999999999995</v>
      </c>
      <c r="G26" s="9">
        <f>B26</f>
        <v>0.13200000000000001</v>
      </c>
      <c r="H26" s="10">
        <f>ABS(F26*G26)</f>
        <v>0.11265804</v>
      </c>
    </row>
    <row r="27" spans="1:8">
      <c r="A27" s="36" t="s">
        <v>13</v>
      </c>
      <c r="B27" s="37"/>
      <c r="C27" s="37"/>
      <c r="D27" s="37"/>
      <c r="E27" s="37"/>
      <c r="F27" s="37"/>
      <c r="G27" s="37"/>
      <c r="H27" s="38"/>
    </row>
    <row r="28" spans="1:8">
      <c r="A28" s="4" t="s">
        <v>0</v>
      </c>
      <c r="B28" s="5" t="s">
        <v>1</v>
      </c>
      <c r="C28" s="5" t="s">
        <v>2</v>
      </c>
      <c r="D28" s="5" t="s">
        <v>3</v>
      </c>
      <c r="E28" s="5" t="s">
        <v>4</v>
      </c>
      <c r="F28" s="5" t="s">
        <v>5</v>
      </c>
      <c r="G28" s="5" t="s">
        <v>6</v>
      </c>
      <c r="H28" s="6" t="s">
        <v>7</v>
      </c>
    </row>
    <row r="29" spans="1:8">
      <c r="A29" s="7">
        <f>232.177/1000</f>
        <v>0.23217699999999999</v>
      </c>
      <c r="B29" s="8">
        <f>232.177/1000</f>
        <v>0.23217699999999999</v>
      </c>
      <c r="C29" s="9">
        <f>ACOS(A29/B29)*(180/PI())</f>
        <v>0</v>
      </c>
      <c r="D29" s="8">
        <v>2.06</v>
      </c>
      <c r="E29" s="9">
        <f>D29*9.81</f>
        <v>20.208600000000001</v>
      </c>
      <c r="F29" s="9">
        <f>E29</f>
        <v>20.208600000000001</v>
      </c>
      <c r="G29" s="9">
        <f>B29</f>
        <v>0.23217699999999999</v>
      </c>
      <c r="H29" s="10">
        <f>ABS(F29*G29)</f>
        <v>4.6919721222000002</v>
      </c>
    </row>
    <row r="30" spans="1:8">
      <c r="A30" s="76"/>
      <c r="B30" s="77"/>
      <c r="C30" s="77"/>
      <c r="D30" s="77"/>
      <c r="E30" s="77"/>
      <c r="F30" s="77"/>
      <c r="G30" s="77"/>
      <c r="H30" s="78"/>
    </row>
    <row r="31" spans="1:8" ht="15.75" thickBot="1">
      <c r="A31" s="27" t="s">
        <v>14</v>
      </c>
      <c r="B31" s="28"/>
      <c r="C31" s="28"/>
      <c r="D31" s="28"/>
      <c r="E31" s="28"/>
      <c r="F31" s="28"/>
      <c r="G31" s="28"/>
      <c r="H31" s="11">
        <f>SUM(H20+H23+H26+H29)</f>
        <v>4.8808789365600003</v>
      </c>
    </row>
    <row r="32" spans="1:8" ht="16.5" thickTop="1" thickBot="1"/>
    <row r="33" spans="1:8" ht="15.75" thickTop="1">
      <c r="A33" s="24" t="s">
        <v>18</v>
      </c>
      <c r="B33" s="25"/>
      <c r="C33" s="25"/>
      <c r="D33" s="25"/>
      <c r="E33" s="25"/>
      <c r="F33" s="25"/>
      <c r="G33" s="25"/>
      <c r="H33" s="26"/>
    </row>
    <row r="34" spans="1:8">
      <c r="A34" s="36" t="s">
        <v>13</v>
      </c>
      <c r="B34" s="37"/>
      <c r="C34" s="37"/>
      <c r="D34" s="37"/>
      <c r="E34" s="37"/>
      <c r="F34" s="37"/>
      <c r="G34" s="37"/>
      <c r="H34" s="38"/>
    </row>
    <row r="35" spans="1:8">
      <c r="A35" s="4" t="s">
        <v>0</v>
      </c>
      <c r="B35" s="5" t="s">
        <v>1</v>
      </c>
      <c r="C35" s="5" t="s">
        <v>2</v>
      </c>
      <c r="D35" s="5" t="s">
        <v>3</v>
      </c>
      <c r="E35" s="5" t="s">
        <v>4</v>
      </c>
      <c r="F35" s="5" t="s">
        <v>5</v>
      </c>
      <c r="G35" s="5" t="s">
        <v>6</v>
      </c>
      <c r="H35" s="6" t="s">
        <v>7</v>
      </c>
    </row>
    <row r="36" spans="1:8">
      <c r="A36" s="7">
        <f>109.174/1000</f>
        <v>0.10917400000000001</v>
      </c>
      <c r="B36" s="8">
        <f>109.174/1000</f>
        <v>0.10917400000000001</v>
      </c>
      <c r="C36" s="9">
        <f>ACOS(A36/B36)*(180/PI())</f>
        <v>0</v>
      </c>
      <c r="D36" s="8">
        <v>2.06</v>
      </c>
      <c r="E36" s="9">
        <f>D36*9.81</f>
        <v>20.208600000000001</v>
      </c>
      <c r="F36" s="9">
        <f>E36</f>
        <v>20.208600000000001</v>
      </c>
      <c r="G36" s="9">
        <f>B36</f>
        <v>0.10917400000000001</v>
      </c>
      <c r="H36" s="10">
        <f>ABS(F36*G36)</f>
        <v>2.2062536964000001</v>
      </c>
    </row>
    <row r="37" spans="1:8">
      <c r="A37" s="76"/>
      <c r="B37" s="77"/>
      <c r="C37" s="77"/>
      <c r="D37" s="77"/>
      <c r="E37" s="77"/>
      <c r="F37" s="77"/>
      <c r="G37" s="77"/>
      <c r="H37" s="78"/>
    </row>
    <row r="38" spans="1:8" ht="15.75" thickBot="1">
      <c r="A38" s="27" t="s">
        <v>14</v>
      </c>
      <c r="B38" s="28"/>
      <c r="C38" s="28"/>
      <c r="D38" s="28"/>
      <c r="E38" s="28"/>
      <c r="F38" s="28"/>
      <c r="G38" s="28"/>
      <c r="H38" s="11">
        <f>SUM(H36)</f>
        <v>2.2062536964000001</v>
      </c>
    </row>
    <row r="39" spans="1:8" ht="15.75" thickTop="1"/>
    <row r="40" spans="1:8">
      <c r="A40" s="81" t="s">
        <v>19</v>
      </c>
      <c r="B40" s="81"/>
      <c r="C40" s="81"/>
      <c r="D40" s="81"/>
      <c r="E40" s="81"/>
      <c r="F40" s="81"/>
      <c r="G40" s="81"/>
      <c r="H40" s="81"/>
    </row>
  </sheetData>
  <mergeCells count="19">
    <mergeCell ref="A1:H1"/>
    <mergeCell ref="A15:G15"/>
    <mergeCell ref="A17:H17"/>
    <mergeCell ref="A18:H18"/>
    <mergeCell ref="A21:H21"/>
    <mergeCell ref="A40:H40"/>
    <mergeCell ref="A2:H2"/>
    <mergeCell ref="A5:H5"/>
    <mergeCell ref="A8:H8"/>
    <mergeCell ref="A11:H11"/>
    <mergeCell ref="A14:H14"/>
    <mergeCell ref="A30:H30"/>
    <mergeCell ref="A24:H24"/>
    <mergeCell ref="A27:H27"/>
    <mergeCell ref="A37:H37"/>
    <mergeCell ref="A38:G38"/>
    <mergeCell ref="A31:G31"/>
    <mergeCell ref="A33:H33"/>
    <mergeCell ref="A34:H3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topLeftCell="A4" zoomScaleNormal="100" workbookViewId="0">
      <selection activeCell="J33" sqref="J33"/>
    </sheetView>
  </sheetViews>
  <sheetFormatPr defaultRowHeight="15"/>
  <cols>
    <col min="3" max="3" width="13.7109375" bestFit="1" customWidth="1"/>
    <col min="8" max="8" width="15.42578125" bestFit="1" customWidth="1"/>
  </cols>
  <sheetData>
    <row r="1" spans="1:8" ht="15.75" thickTop="1">
      <c r="A1" s="24" t="s">
        <v>8</v>
      </c>
      <c r="B1" s="25"/>
      <c r="C1" s="25"/>
      <c r="D1" s="25"/>
      <c r="E1" s="25"/>
      <c r="F1" s="25"/>
      <c r="G1" s="25"/>
      <c r="H1" s="26"/>
    </row>
    <row r="2" spans="1:8">
      <c r="A2" s="39" t="s">
        <v>16</v>
      </c>
      <c r="B2" s="40"/>
      <c r="C2" s="40"/>
      <c r="D2" s="40"/>
      <c r="E2" s="40"/>
      <c r="F2" s="40"/>
      <c r="G2" s="40"/>
      <c r="H2" s="41"/>
    </row>
    <row r="3" spans="1:8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6" t="s">
        <v>7</v>
      </c>
    </row>
    <row r="4" spans="1:8">
      <c r="A4" s="12">
        <f>(79.949-45)/1000</f>
        <v>3.4949000000000001E-2</v>
      </c>
      <c r="B4" s="13">
        <f>86.73/1000</f>
        <v>8.6730000000000002E-2</v>
      </c>
      <c r="C4" s="9">
        <f>ASIN(A4/B4)*(180/PI())</f>
        <v>23.763554798275909</v>
      </c>
      <c r="D4" s="13">
        <v>0.187</v>
      </c>
      <c r="E4" s="9">
        <f>D4*9.81</f>
        <v>1.83447</v>
      </c>
      <c r="F4" s="9">
        <f>E4*COS(C4*PI()/180)</f>
        <v>1.6789366135472779</v>
      </c>
      <c r="G4" s="9">
        <f>B4</f>
        <v>8.6730000000000002E-2</v>
      </c>
      <c r="H4" s="23">
        <f>ABS(F4*G4)</f>
        <v>0.14561417249295541</v>
      </c>
    </row>
    <row r="5" spans="1:8">
      <c r="A5" s="55" t="s">
        <v>9</v>
      </c>
      <c r="B5" s="56"/>
      <c r="C5" s="56"/>
      <c r="D5" s="56"/>
      <c r="E5" s="56"/>
      <c r="F5" s="56"/>
      <c r="G5" s="56"/>
      <c r="H5" s="57"/>
    </row>
    <row r="6" spans="1:8">
      <c r="A6" s="15" t="s">
        <v>0</v>
      </c>
      <c r="B6" s="16" t="s">
        <v>1</v>
      </c>
      <c r="C6" s="16" t="s">
        <v>2</v>
      </c>
      <c r="D6" s="16" t="s">
        <v>3</v>
      </c>
      <c r="E6" s="16" t="s">
        <v>4</v>
      </c>
      <c r="F6" s="16" t="s">
        <v>5</v>
      </c>
      <c r="G6" s="16" t="s">
        <v>6</v>
      </c>
      <c r="H6" s="17" t="s">
        <v>7</v>
      </c>
    </row>
    <row r="7" spans="1:8">
      <c r="A7" s="12">
        <f>(110.243-45)/1000</f>
        <v>6.5242999999999995E-2</v>
      </c>
      <c r="B7" s="13">
        <f>106.455/1000</f>
        <v>0.10645499999999999</v>
      </c>
      <c r="C7" s="9">
        <f>ASIN(A7/B7)*(180/PI())</f>
        <v>37.797261548090859</v>
      </c>
      <c r="D7" s="13">
        <v>0.04</v>
      </c>
      <c r="E7" s="9">
        <f>D7*9.81</f>
        <v>0.39240000000000003</v>
      </c>
      <c r="F7" s="9">
        <f>E7*COS(C7*PI()/180)</f>
        <v>0.31006832142607765</v>
      </c>
      <c r="G7" s="9">
        <f>B7</f>
        <v>0.10645499999999999</v>
      </c>
      <c r="H7" s="23">
        <f>ABS(F7*G7)</f>
        <v>3.3008323157413096E-2</v>
      </c>
    </row>
    <row r="8" spans="1:8">
      <c r="A8" s="42" t="s">
        <v>10</v>
      </c>
      <c r="B8" s="43"/>
      <c r="C8" s="43"/>
      <c r="D8" s="43"/>
      <c r="E8" s="43"/>
      <c r="F8" s="43"/>
      <c r="G8" s="43"/>
      <c r="H8" s="44"/>
    </row>
    <row r="9" spans="1:8">
      <c r="A9" s="15" t="s">
        <v>0</v>
      </c>
      <c r="B9" s="16" t="s">
        <v>1</v>
      </c>
      <c r="C9" s="16" t="s">
        <v>2</v>
      </c>
      <c r="D9" s="16" t="s">
        <v>3</v>
      </c>
      <c r="E9" s="16" t="s">
        <v>4</v>
      </c>
      <c r="F9" s="16" t="s">
        <v>5</v>
      </c>
      <c r="G9" s="16" t="s">
        <v>6</v>
      </c>
      <c r="H9" s="17" t="s">
        <v>7</v>
      </c>
    </row>
    <row r="10" spans="1:8">
      <c r="A10" s="12">
        <f>(129.327-45)/1000</f>
        <v>8.4326999999999999E-2</v>
      </c>
      <c r="B10" s="13">
        <f>94.524/1000</f>
        <v>9.4523999999999997E-2</v>
      </c>
      <c r="C10" s="9">
        <f>ASIN(A10/B10)*(180/PI())</f>
        <v>63.141200218283558</v>
      </c>
      <c r="D10" s="13">
        <v>8.2000000000000003E-2</v>
      </c>
      <c r="E10" s="9">
        <f>D10*9.81</f>
        <v>0.80442000000000002</v>
      </c>
      <c r="F10" s="9">
        <f>E10*COS(C10*PI()/180)</f>
        <v>0.36343158175703238</v>
      </c>
      <c r="G10" s="9">
        <f>B10</f>
        <v>9.4523999999999997E-2</v>
      </c>
      <c r="H10" s="23">
        <f>ABS(F10*G10)</f>
        <v>3.4353006834001727E-2</v>
      </c>
    </row>
    <row r="11" spans="1:8">
      <c r="A11" s="42" t="s">
        <v>17</v>
      </c>
      <c r="B11" s="43"/>
      <c r="C11" s="43"/>
      <c r="D11" s="43"/>
      <c r="E11" s="43"/>
      <c r="F11" s="43"/>
      <c r="G11" s="43"/>
      <c r="H11" s="44"/>
    </row>
    <row r="12" spans="1:8">
      <c r="A12" s="15" t="s">
        <v>0</v>
      </c>
      <c r="B12" s="16" t="s">
        <v>1</v>
      </c>
      <c r="C12" s="16" t="s">
        <v>2</v>
      </c>
      <c r="D12" s="16" t="s">
        <v>3</v>
      </c>
      <c r="E12" s="16" t="s">
        <v>4</v>
      </c>
      <c r="F12" s="16" t="s">
        <v>5</v>
      </c>
      <c r="G12" s="16" t="s">
        <v>6</v>
      </c>
      <c r="H12" s="17" t="s">
        <v>7</v>
      </c>
    </row>
    <row r="13" spans="1:8">
      <c r="A13" s="12">
        <f>(182.023-45)/1000</f>
        <v>0.13702300000000001</v>
      </c>
      <c r="B13" s="13">
        <f>174.822/1000</f>
        <v>0.17482200000000001</v>
      </c>
      <c r="C13" s="9">
        <f>ASIN(A13/B13)*(180/PI())</f>
        <v>51.608518056973118</v>
      </c>
      <c r="D13" s="13">
        <v>2.06</v>
      </c>
      <c r="E13" s="9">
        <f>D13*9.81</f>
        <v>20.208600000000001</v>
      </c>
      <c r="F13" s="9">
        <f>E13*COS(C13*PI()/180)</f>
        <v>12.550172384810283</v>
      </c>
      <c r="G13" s="9">
        <f>B13</f>
        <v>0.17482200000000001</v>
      </c>
      <c r="H13" s="23">
        <f>ABS(F13*G13)</f>
        <v>2.1940462366573033</v>
      </c>
    </row>
    <row r="14" spans="1:8">
      <c r="A14" s="45"/>
      <c r="B14" s="46"/>
      <c r="C14" s="46"/>
      <c r="D14" s="46"/>
      <c r="E14" s="46"/>
      <c r="F14" s="46"/>
      <c r="G14" s="46"/>
      <c r="H14" s="47"/>
    </row>
    <row r="15" spans="1:8" ht="15.75" thickBot="1">
      <c r="A15" s="50" t="s">
        <v>14</v>
      </c>
      <c r="B15" s="51"/>
      <c r="C15" s="51"/>
      <c r="D15" s="51"/>
      <c r="E15" s="51"/>
      <c r="F15" s="51"/>
      <c r="G15" s="51"/>
      <c r="H15" s="11">
        <f>SUM(H4+H7+H10+H13)</f>
        <v>2.4070217391416735</v>
      </c>
    </row>
    <row r="16" spans="1:8" ht="16.5" thickTop="1" thickBot="1"/>
    <row r="17" spans="1:8" ht="15.75" thickTop="1">
      <c r="A17" s="52" t="s">
        <v>15</v>
      </c>
      <c r="B17" s="53"/>
      <c r="C17" s="53"/>
      <c r="D17" s="53"/>
      <c r="E17" s="53"/>
      <c r="F17" s="53"/>
      <c r="G17" s="53"/>
      <c r="H17" s="54"/>
    </row>
    <row r="18" spans="1:8">
      <c r="A18" s="33" t="s">
        <v>9</v>
      </c>
      <c r="B18" s="34"/>
      <c r="C18" s="34"/>
      <c r="D18" s="34"/>
      <c r="E18" s="34"/>
      <c r="F18" s="34"/>
      <c r="G18" s="34"/>
      <c r="H18" s="35"/>
    </row>
    <row r="19" spans="1:8">
      <c r="A19" s="4" t="s">
        <v>0</v>
      </c>
      <c r="B19" s="5" t="s">
        <v>1</v>
      </c>
      <c r="C19" s="5" t="s">
        <v>2</v>
      </c>
      <c r="D19" s="5" t="s">
        <v>3</v>
      </c>
      <c r="E19" s="5" t="s">
        <v>4</v>
      </c>
      <c r="F19" s="5" t="s">
        <v>5</v>
      </c>
      <c r="G19" s="5" t="s">
        <v>6</v>
      </c>
      <c r="H19" s="6" t="s">
        <v>7</v>
      </c>
    </row>
    <row r="20" spans="1:8">
      <c r="A20" s="12">
        <f>(110.132-96.577)/1000</f>
        <v>1.3555000000000006E-2</v>
      </c>
      <c r="B20" s="13">
        <f>35.188/1000</f>
        <v>3.5188000000000004E-2</v>
      </c>
      <c r="C20" s="9">
        <f>ASIN(A20/B20)*(180/PI())</f>
        <v>22.657184675599126</v>
      </c>
      <c r="D20" s="13">
        <v>0.04</v>
      </c>
      <c r="E20" s="9">
        <f>D20*9.81</f>
        <v>0.39240000000000003</v>
      </c>
      <c r="F20" s="9">
        <f>E20*COS(C20*PI()/180)</f>
        <v>0.3621170037192743</v>
      </c>
      <c r="G20" s="9">
        <f>B20</f>
        <v>3.5188000000000004E-2</v>
      </c>
      <c r="H20" s="23">
        <f>ABS(F20*G20)</f>
        <v>1.2742173126873825E-2</v>
      </c>
    </row>
    <row r="21" spans="1:8">
      <c r="A21" s="42" t="s">
        <v>10</v>
      </c>
      <c r="B21" s="43"/>
      <c r="C21" s="43"/>
      <c r="D21" s="43"/>
      <c r="E21" s="43"/>
      <c r="F21" s="43"/>
      <c r="G21" s="43"/>
      <c r="H21" s="44"/>
    </row>
    <row r="22" spans="1:8">
      <c r="A22" s="15" t="s">
        <v>0</v>
      </c>
      <c r="B22" s="16" t="s">
        <v>1</v>
      </c>
      <c r="C22" s="16" t="s">
        <v>2</v>
      </c>
      <c r="D22" s="16" t="s">
        <v>3</v>
      </c>
      <c r="E22" s="16" t="s">
        <v>4</v>
      </c>
      <c r="F22" s="16" t="s">
        <v>5</v>
      </c>
      <c r="G22" s="16" t="s">
        <v>6</v>
      </c>
      <c r="H22" s="17" t="s">
        <v>7</v>
      </c>
    </row>
    <row r="23" spans="1:8">
      <c r="A23" s="12">
        <f>(129.327-96.577)/1000</f>
        <v>3.2750000000000001E-2</v>
      </c>
      <c r="B23" s="13">
        <f>78.598/1000</f>
        <v>7.8598000000000001E-2</v>
      </c>
      <c r="C23" s="9">
        <f>ASIN(A23/B23)*(180/PI())</f>
        <v>24.62498660193323</v>
      </c>
      <c r="D23" s="13">
        <v>8.2000000000000003E-2</v>
      </c>
      <c r="E23" s="9">
        <f>D23*9.81</f>
        <v>0.80442000000000002</v>
      </c>
      <c r="F23" s="9">
        <f>E23*COS(C23*PI()/180)</f>
        <v>0.73126160735565204</v>
      </c>
      <c r="G23" s="9">
        <f>B23</f>
        <v>7.8598000000000001E-2</v>
      </c>
      <c r="H23" s="23">
        <f>ABS(F23*G23)</f>
        <v>5.7475699814939538E-2</v>
      </c>
    </row>
    <row r="24" spans="1:8">
      <c r="A24" s="42" t="s">
        <v>11</v>
      </c>
      <c r="B24" s="43"/>
      <c r="C24" s="43"/>
      <c r="D24" s="43"/>
      <c r="E24" s="43"/>
      <c r="F24" s="43"/>
      <c r="G24" s="43"/>
      <c r="H24" s="44"/>
    </row>
    <row r="25" spans="1:8">
      <c r="A25" s="15" t="s">
        <v>0</v>
      </c>
      <c r="B25" s="16" t="s">
        <v>1</v>
      </c>
      <c r="C25" s="16" t="s">
        <v>2</v>
      </c>
      <c r="D25" s="16" t="s">
        <v>3</v>
      </c>
      <c r="E25" s="16" t="s">
        <v>4</v>
      </c>
      <c r="F25" s="16" t="s">
        <v>5</v>
      </c>
      <c r="G25" s="16" t="s">
        <v>6</v>
      </c>
      <c r="H25" s="17" t="s">
        <v>7</v>
      </c>
    </row>
    <row r="26" spans="1:8">
      <c r="A26" s="12">
        <f>(141.892-96.577)/1000</f>
        <v>4.5315000000000001E-2</v>
      </c>
      <c r="B26" s="13">
        <f>132.927/1000</f>
        <v>0.13292699999999999</v>
      </c>
      <c r="C26" s="9">
        <f>ASIN(A26/B26)*(180/PI())</f>
        <v>19.931801554860151</v>
      </c>
      <c r="D26" s="13">
        <v>8.6999999999999994E-2</v>
      </c>
      <c r="E26" s="9">
        <f>D26*9.81</f>
        <v>0.85346999999999995</v>
      </c>
      <c r="F26" s="9">
        <f>E26*COS(C26*PI()/180)</f>
        <v>0.80234634242569114</v>
      </c>
      <c r="G26" s="9">
        <f>B26</f>
        <v>0.13292699999999999</v>
      </c>
      <c r="H26" s="23">
        <f>ABS(F26*G26)</f>
        <v>0.10665349225961984</v>
      </c>
    </row>
    <row r="27" spans="1:8">
      <c r="A27" s="42" t="s">
        <v>13</v>
      </c>
      <c r="B27" s="43"/>
      <c r="C27" s="43"/>
      <c r="D27" s="43"/>
      <c r="E27" s="43"/>
      <c r="F27" s="43"/>
      <c r="G27" s="43"/>
      <c r="H27" s="44"/>
    </row>
    <row r="28" spans="1:8">
      <c r="A28" s="15" t="s">
        <v>0</v>
      </c>
      <c r="B28" s="16" t="s">
        <v>1</v>
      </c>
      <c r="C28" s="16" t="s">
        <v>2</v>
      </c>
      <c r="D28" s="16" t="s">
        <v>3</v>
      </c>
      <c r="E28" s="16" t="s">
        <v>4</v>
      </c>
      <c r="F28" s="16" t="s">
        <v>5</v>
      </c>
      <c r="G28" s="16" t="s">
        <v>6</v>
      </c>
      <c r="H28" s="17" t="s">
        <v>7</v>
      </c>
    </row>
    <row r="29" spans="1:8">
      <c r="A29" s="12">
        <f>(140.556-49.448)/1000</f>
        <v>9.1108000000000008E-2</v>
      </c>
      <c r="B29" s="13">
        <f>91.625/1000</f>
        <v>9.1624999999999998E-2</v>
      </c>
      <c r="C29" s="9">
        <f>ASIN(A29/B29)*(180/PI())</f>
        <v>83.910518284616018</v>
      </c>
      <c r="D29" s="13">
        <v>2.06</v>
      </c>
      <c r="E29" s="9">
        <f>D29*9.81</f>
        <v>20.208600000000001</v>
      </c>
      <c r="F29" s="9">
        <f>E29*COS(C29*PI()/180)</f>
        <v>2.1437592128423226</v>
      </c>
      <c r="G29" s="9">
        <f>B29</f>
        <v>9.1624999999999998E-2</v>
      </c>
      <c r="H29" s="23">
        <f>ABS(F29*G29)</f>
        <v>0.1964219378766778</v>
      </c>
    </row>
    <row r="30" spans="1:8">
      <c r="A30" s="45"/>
      <c r="B30" s="46"/>
      <c r="C30" s="46"/>
      <c r="D30" s="46"/>
      <c r="E30" s="46"/>
      <c r="F30" s="46"/>
      <c r="G30" s="46"/>
      <c r="H30" s="47"/>
    </row>
    <row r="31" spans="1:8" ht="15.75" thickBot="1">
      <c r="A31" s="70" t="s">
        <v>14</v>
      </c>
      <c r="B31" s="71"/>
      <c r="C31" s="71"/>
      <c r="D31" s="71"/>
      <c r="E31" s="71"/>
      <c r="F31" s="71"/>
      <c r="G31" s="72"/>
      <c r="H31" s="11">
        <f>SUM(H20+H23+H26+H29)</f>
        <v>0.37329330307811104</v>
      </c>
    </row>
    <row r="32" spans="1:8" ht="16.5" thickTop="1" thickBot="1"/>
    <row r="33" spans="1:8" ht="15.75" thickTop="1">
      <c r="A33" s="52" t="s">
        <v>18</v>
      </c>
      <c r="B33" s="53"/>
      <c r="C33" s="53"/>
      <c r="D33" s="53"/>
      <c r="E33" s="53"/>
      <c r="F33" s="53"/>
      <c r="G33" s="53"/>
      <c r="H33" s="54"/>
    </row>
    <row r="34" spans="1:8">
      <c r="A34" s="73" t="s">
        <v>13</v>
      </c>
      <c r="B34" s="74"/>
      <c r="C34" s="74"/>
      <c r="D34" s="74"/>
      <c r="E34" s="74"/>
      <c r="F34" s="74"/>
      <c r="G34" s="74"/>
      <c r="H34" s="75"/>
    </row>
    <row r="35" spans="1:8">
      <c r="A35" s="4" t="s">
        <v>0</v>
      </c>
      <c r="B35" s="5" t="s">
        <v>1</v>
      </c>
      <c r="C35" s="5" t="s">
        <v>2</v>
      </c>
      <c r="D35" s="5" t="s">
        <v>3</v>
      </c>
      <c r="E35" s="5" t="s">
        <v>4</v>
      </c>
      <c r="F35" s="5" t="s">
        <v>5</v>
      </c>
      <c r="G35" s="5" t="s">
        <v>6</v>
      </c>
      <c r="H35" s="6" t="s">
        <v>7</v>
      </c>
    </row>
    <row r="36" spans="1:8">
      <c r="A36" s="7">
        <f>(279.729-209.554)/1000</f>
        <v>7.0174999999999987E-2</v>
      </c>
      <c r="B36" s="8">
        <f>108.177/1000</f>
        <v>0.10817700000000001</v>
      </c>
      <c r="C36" s="9">
        <f>ASIN(A36/B36)*(180/PI())</f>
        <v>40.44406272660104</v>
      </c>
      <c r="D36" s="8">
        <v>2.06</v>
      </c>
      <c r="E36" s="9">
        <f>D36*9.81</f>
        <v>20.208600000000001</v>
      </c>
      <c r="F36" s="9">
        <f>E36*COS(C36*PI()/180)</f>
        <v>15.379545921197879</v>
      </c>
      <c r="G36" s="9">
        <f>B36</f>
        <v>0.10817700000000001</v>
      </c>
      <c r="H36" s="10">
        <f>ABS(F36*G36)</f>
        <v>1.6637131391174231</v>
      </c>
    </row>
    <row r="37" spans="1:8">
      <c r="A37" s="76"/>
      <c r="B37" s="77"/>
      <c r="C37" s="77"/>
      <c r="D37" s="77"/>
      <c r="E37" s="77"/>
      <c r="F37" s="77"/>
      <c r="G37" s="77"/>
      <c r="H37" s="78"/>
    </row>
    <row r="38" spans="1:8" ht="15.75" thickBot="1">
      <c r="A38" s="79" t="s">
        <v>14</v>
      </c>
      <c r="B38" s="80"/>
      <c r="C38" s="80"/>
      <c r="D38" s="80"/>
      <c r="E38" s="80"/>
      <c r="F38" s="80"/>
      <c r="G38" s="80"/>
      <c r="H38" s="11">
        <f>SUM(H36)</f>
        <v>1.6637131391174231</v>
      </c>
    </row>
    <row r="39" spans="1:8" ht="15.75" thickTop="1"/>
  </sheetData>
  <mergeCells count="18">
    <mergeCell ref="A30:H30"/>
    <mergeCell ref="A1:H1"/>
    <mergeCell ref="A2:H2"/>
    <mergeCell ref="A5:H5"/>
    <mergeCell ref="A8:H8"/>
    <mergeCell ref="A14:H14"/>
    <mergeCell ref="A15:G15"/>
    <mergeCell ref="A11:H11"/>
    <mergeCell ref="A17:H17"/>
    <mergeCell ref="A18:H18"/>
    <mergeCell ref="A21:H21"/>
    <mergeCell ref="A24:H24"/>
    <mergeCell ref="A27:H27"/>
    <mergeCell ref="A31:G31"/>
    <mergeCell ref="A33:H33"/>
    <mergeCell ref="A34:H34"/>
    <mergeCell ref="A37:H37"/>
    <mergeCell ref="A38:G3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0"/>
  <sheetViews>
    <sheetView topLeftCell="A7" zoomScale="70" zoomScaleNormal="70" workbookViewId="0">
      <selection activeCell="K50" sqref="K50"/>
    </sheetView>
  </sheetViews>
  <sheetFormatPr defaultRowHeight="15"/>
  <cols>
    <col min="3" max="3" width="14.5703125" bestFit="1" customWidth="1"/>
    <col min="4" max="4" width="11" bestFit="1" customWidth="1"/>
    <col min="8" max="8" width="15.42578125" bestFit="1" customWidth="1"/>
    <col min="11" max="11" width="14.5703125" bestFit="1" customWidth="1"/>
    <col min="12" max="12" width="11" bestFit="1" customWidth="1"/>
    <col min="16" max="16" width="15.42578125" bestFit="1" customWidth="1"/>
  </cols>
  <sheetData>
    <row r="1" spans="1:16" ht="15.75" thickTop="1">
      <c r="A1" s="82" t="s">
        <v>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4"/>
    </row>
    <row r="2" spans="1:16">
      <c r="A2" s="39" t="s">
        <v>20</v>
      </c>
      <c r="B2" s="40"/>
      <c r="C2" s="40"/>
      <c r="D2" s="40"/>
      <c r="E2" s="40"/>
      <c r="F2" s="40"/>
      <c r="G2" s="40"/>
      <c r="H2" s="41"/>
      <c r="I2" s="39" t="s">
        <v>23</v>
      </c>
      <c r="J2" s="40"/>
      <c r="K2" s="40"/>
      <c r="L2" s="40"/>
      <c r="M2" s="40"/>
      <c r="N2" s="40"/>
      <c r="O2" s="40"/>
      <c r="P2" s="41"/>
    </row>
    <row r="3" spans="1:16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6" t="s">
        <v>7</v>
      </c>
      <c r="I3" s="4" t="s">
        <v>0</v>
      </c>
      <c r="J3" s="5" t="s">
        <v>1</v>
      </c>
      <c r="K3" s="5" t="s">
        <v>2</v>
      </c>
      <c r="L3" s="5" t="s">
        <v>3</v>
      </c>
      <c r="M3" s="5" t="s">
        <v>4</v>
      </c>
      <c r="N3" s="5" t="s">
        <v>5</v>
      </c>
      <c r="O3" s="5" t="s">
        <v>6</v>
      </c>
      <c r="P3" s="6" t="s">
        <v>7</v>
      </c>
    </row>
    <row r="4" spans="1:16">
      <c r="A4" s="12">
        <f>(127.546-45)/1000</f>
        <v>8.2546000000000008E-2</v>
      </c>
      <c r="B4" s="13">
        <f>88.731/1000</f>
        <v>8.873099999999999E-2</v>
      </c>
      <c r="C4" s="9">
        <f>ASIN(A4/B4)*(180/PI())</f>
        <v>68.480836921781417</v>
      </c>
      <c r="D4" s="13">
        <v>0.187</v>
      </c>
      <c r="E4" s="9">
        <f>D4*9.81</f>
        <v>1.83447</v>
      </c>
      <c r="F4" s="9">
        <f>E4*COS(C4*PI()/180)</f>
        <v>0.67290632980142639</v>
      </c>
      <c r="G4" s="9">
        <f>B4</f>
        <v>8.873099999999999E-2</v>
      </c>
      <c r="H4" s="23">
        <f>ABS(F4*G4)</f>
        <v>5.9707651549610358E-2</v>
      </c>
      <c r="I4" s="12">
        <f>(114.432)/1000</f>
        <v>0.11443200000000001</v>
      </c>
      <c r="J4" s="13">
        <f>225.722/1000</f>
        <v>0.22572200000000001</v>
      </c>
      <c r="K4" s="9">
        <f>ASIN(I4/J4)*(180/PI())</f>
        <v>30.461540781306478</v>
      </c>
      <c r="L4" s="13">
        <v>0.187</v>
      </c>
      <c r="M4" s="9">
        <f>L4*9.81</f>
        <v>1.83447</v>
      </c>
      <c r="N4" s="9">
        <f>M4*COS(K4*PI()/180)</f>
        <v>1.5812574571478772</v>
      </c>
      <c r="O4" s="9">
        <f>J4</f>
        <v>0.22572200000000001</v>
      </c>
      <c r="P4" s="23">
        <f>ABS(N4*O4)</f>
        <v>0.35692459574233315</v>
      </c>
    </row>
    <row r="5" spans="1:16">
      <c r="A5" s="55" t="s">
        <v>21</v>
      </c>
      <c r="B5" s="56"/>
      <c r="C5" s="56"/>
      <c r="D5" s="56"/>
      <c r="E5" s="56"/>
      <c r="F5" s="56"/>
      <c r="G5" s="56"/>
      <c r="H5" s="57"/>
      <c r="I5" s="55" t="s">
        <v>24</v>
      </c>
      <c r="J5" s="56"/>
      <c r="K5" s="56"/>
      <c r="L5" s="56"/>
      <c r="M5" s="56"/>
      <c r="N5" s="56"/>
      <c r="O5" s="56"/>
      <c r="P5" s="57"/>
    </row>
    <row r="6" spans="1:16">
      <c r="A6" s="15" t="s">
        <v>0</v>
      </c>
      <c r="B6" s="16" t="s">
        <v>1</v>
      </c>
      <c r="C6" s="16" t="s">
        <v>2</v>
      </c>
      <c r="D6" s="16" t="s">
        <v>3</v>
      </c>
      <c r="E6" s="16" t="s">
        <v>4</v>
      </c>
      <c r="F6" s="16" t="s">
        <v>5</v>
      </c>
      <c r="G6" s="16" t="s">
        <v>6</v>
      </c>
      <c r="H6" s="17" t="s">
        <v>7</v>
      </c>
      <c r="I6" s="15" t="s">
        <v>0</v>
      </c>
      <c r="J6" s="16" t="s">
        <v>1</v>
      </c>
      <c r="K6" s="16" t="s">
        <v>2</v>
      </c>
      <c r="L6" s="16" t="s">
        <v>3</v>
      </c>
      <c r="M6" s="16" t="s">
        <v>4</v>
      </c>
      <c r="N6" s="16" t="s">
        <v>5</v>
      </c>
      <c r="O6" s="16" t="s">
        <v>6</v>
      </c>
      <c r="P6" s="17" t="s">
        <v>7</v>
      </c>
    </row>
    <row r="7" spans="1:16">
      <c r="A7" s="12">
        <f>(200.92-45)/1000</f>
        <v>0.15591999999999998</v>
      </c>
      <c r="B7" s="13">
        <f>167.077/1000</f>
        <v>0.167077</v>
      </c>
      <c r="C7" s="9">
        <f>ASIN(A7/B7)*(180/PI())</f>
        <v>68.942834123475095</v>
      </c>
      <c r="D7" s="13">
        <v>0.04</v>
      </c>
      <c r="E7" s="9">
        <f>D7*9.81</f>
        <v>0.39240000000000003</v>
      </c>
      <c r="F7" s="9">
        <f>E7*COS(C7*PI()/180)</f>
        <v>0.14098901973504913</v>
      </c>
      <c r="G7" s="9">
        <f>B7</f>
        <v>0.167077</v>
      </c>
      <c r="H7" s="23">
        <f>ABS(F7*G7)</f>
        <v>2.3556022450272805E-2</v>
      </c>
      <c r="I7" s="12">
        <f>(178.436)/1000</f>
        <v>0.17843600000000001</v>
      </c>
      <c r="J7" s="13">
        <f>234.093/1000</f>
        <v>0.234093</v>
      </c>
      <c r="K7" s="9">
        <f>ASIN(I7/J7)*(180/PI())</f>
        <v>49.662431128774983</v>
      </c>
      <c r="L7" s="13">
        <v>0.04</v>
      </c>
      <c r="M7" s="9">
        <f>L7*9.81</f>
        <v>0.39240000000000003</v>
      </c>
      <c r="N7" s="9">
        <f>M7*COS(K7*PI()/180)</f>
        <v>0.25399648708454159</v>
      </c>
      <c r="O7" s="9">
        <f>J7</f>
        <v>0.234093</v>
      </c>
      <c r="P7" s="23">
        <f>ABS(N7*O7)</f>
        <v>5.9458799651081591E-2</v>
      </c>
    </row>
    <row r="8" spans="1:16">
      <c r="A8" s="42" t="s">
        <v>22</v>
      </c>
      <c r="B8" s="43"/>
      <c r="C8" s="43"/>
      <c r="D8" s="43"/>
      <c r="E8" s="43"/>
      <c r="F8" s="43"/>
      <c r="G8" s="43"/>
      <c r="H8" s="44"/>
      <c r="I8" s="42" t="s">
        <v>25</v>
      </c>
      <c r="J8" s="43"/>
      <c r="K8" s="43"/>
      <c r="L8" s="43"/>
      <c r="M8" s="43"/>
      <c r="N8" s="43"/>
      <c r="O8" s="43"/>
      <c r="P8" s="44"/>
    </row>
    <row r="9" spans="1:16">
      <c r="A9" s="15" t="s">
        <v>0</v>
      </c>
      <c r="B9" s="16" t="s">
        <v>1</v>
      </c>
      <c r="C9" s="16" t="s">
        <v>2</v>
      </c>
      <c r="D9" s="16" t="s">
        <v>3</v>
      </c>
      <c r="E9" s="16" t="s">
        <v>4</v>
      </c>
      <c r="F9" s="16" t="s">
        <v>5</v>
      </c>
      <c r="G9" s="16" t="s">
        <v>6</v>
      </c>
      <c r="H9" s="17" t="s">
        <v>7</v>
      </c>
      <c r="I9" s="15" t="s">
        <v>0</v>
      </c>
      <c r="J9" s="16" t="s">
        <v>1</v>
      </c>
      <c r="K9" s="16" t="s">
        <v>2</v>
      </c>
      <c r="L9" s="16" t="s">
        <v>3</v>
      </c>
      <c r="M9" s="16" t="s">
        <v>4</v>
      </c>
      <c r="N9" s="16" t="s">
        <v>5</v>
      </c>
      <c r="O9" s="16" t="s">
        <v>6</v>
      </c>
      <c r="P9" s="17" t="s">
        <v>7</v>
      </c>
    </row>
    <row r="10" spans="1:16">
      <c r="A10" s="12">
        <f>(241.157-45)/1000</f>
        <v>0.196157</v>
      </c>
      <c r="B10" s="13">
        <f>210.541/1000</f>
        <v>0.21054100000000001</v>
      </c>
      <c r="C10" s="9">
        <f>ASIN(A10/B10)*(180/PI())</f>
        <v>68.698349834691896</v>
      </c>
      <c r="D10" s="13">
        <v>8.2000000000000003E-2</v>
      </c>
      <c r="E10" s="9">
        <f>D10*9.81</f>
        <v>0.80442000000000002</v>
      </c>
      <c r="F10" s="9">
        <f>E10*COS(C10*PI()/180)</f>
        <v>0.29222814007526848</v>
      </c>
      <c r="G10" s="9">
        <f>B10</f>
        <v>0.21054100000000001</v>
      </c>
      <c r="H10" s="23">
        <f>ABS(F10*G10)</f>
        <v>6.1526004839587103E-2</v>
      </c>
      <c r="I10" s="12">
        <f>(210.84)/1000</f>
        <v>0.21084</v>
      </c>
      <c r="J10" s="13">
        <f>243.658/1000</f>
        <v>0.24365799999999999</v>
      </c>
      <c r="K10" s="9">
        <f>ASIN(I10/J10)*(180/PI())</f>
        <v>59.918260941915875</v>
      </c>
      <c r="L10" s="13">
        <v>8.2000000000000003E-2</v>
      </c>
      <c r="M10" s="9">
        <f>L10*9.81</f>
        <v>0.80442000000000002</v>
      </c>
      <c r="N10" s="9">
        <f>M10*COS(K10*PI()/180)</f>
        <v>0.40320343955706012</v>
      </c>
      <c r="O10" s="9">
        <f>J10</f>
        <v>0.24365799999999999</v>
      </c>
      <c r="P10" s="23">
        <f>ABS(N10*O10)</f>
        <v>9.8243743675594145E-2</v>
      </c>
    </row>
    <row r="11" spans="1:16">
      <c r="A11" s="42" t="s">
        <v>11</v>
      </c>
      <c r="B11" s="43"/>
      <c r="C11" s="43"/>
      <c r="D11" s="43"/>
      <c r="E11" s="43"/>
      <c r="F11" s="43"/>
      <c r="G11" s="43"/>
      <c r="H11" s="44"/>
      <c r="I11" s="42" t="s">
        <v>26</v>
      </c>
      <c r="J11" s="43"/>
      <c r="K11" s="43"/>
      <c r="L11" s="43"/>
      <c r="M11" s="43"/>
      <c r="N11" s="43"/>
      <c r="O11" s="43"/>
      <c r="P11" s="44"/>
    </row>
    <row r="12" spans="1:16">
      <c r="A12" s="15" t="s">
        <v>0</v>
      </c>
      <c r="B12" s="16" t="s">
        <v>1</v>
      </c>
      <c r="C12" s="16" t="s">
        <v>2</v>
      </c>
      <c r="D12" s="16" t="s">
        <v>3</v>
      </c>
      <c r="E12" s="16" t="s">
        <v>4</v>
      </c>
      <c r="F12" s="16" t="s">
        <v>5</v>
      </c>
      <c r="G12" s="16" t="s">
        <v>6</v>
      </c>
      <c r="H12" s="17" t="s">
        <v>7</v>
      </c>
      <c r="I12" s="15" t="s">
        <v>0</v>
      </c>
      <c r="J12" s="16" t="s">
        <v>1</v>
      </c>
      <c r="K12" s="16" t="s">
        <v>2</v>
      </c>
      <c r="L12" s="16" t="s">
        <v>3</v>
      </c>
      <c r="M12" s="16" t="s">
        <v>4</v>
      </c>
      <c r="N12" s="16" t="s">
        <v>5</v>
      </c>
      <c r="O12" s="16" t="s">
        <v>6</v>
      </c>
      <c r="P12" s="17" t="s">
        <v>7</v>
      </c>
    </row>
    <row r="13" spans="1:16">
      <c r="A13" s="12">
        <f>(250.386)/1000</f>
        <v>0.250386</v>
      </c>
      <c r="B13" s="13">
        <f>264.401/1000</f>
        <v>0.264401</v>
      </c>
      <c r="C13" s="9">
        <f>ASIN(A13/B13)*(180/PI())</f>
        <v>71.261279763078107</v>
      </c>
      <c r="D13" s="13">
        <v>8.6999999999999994E-2</v>
      </c>
      <c r="E13" s="9">
        <f>D13*9.81</f>
        <v>0.85346999999999995</v>
      </c>
      <c r="F13" s="9">
        <f>E13*COS(C13*PI()/180)</f>
        <v>0.27417983024226561</v>
      </c>
      <c r="G13" s="9">
        <f>B13</f>
        <v>0.264401</v>
      </c>
      <c r="H13" s="23">
        <f>ABS(F13*G13)</f>
        <v>7.2493421295885263E-2</v>
      </c>
      <c r="I13" s="12">
        <f>(249.635)/1000</f>
        <v>0.249635</v>
      </c>
      <c r="J13" s="13">
        <f>262.774/1000</f>
        <v>0.26277400000000001</v>
      </c>
      <c r="K13" s="9">
        <f>ASIN(I13/J13)*(180/PI())</f>
        <v>71.804918174380646</v>
      </c>
      <c r="L13" s="13">
        <v>2.06</v>
      </c>
      <c r="M13" s="9">
        <f>L13*9.81</f>
        <v>20.208600000000001</v>
      </c>
      <c r="N13" s="9">
        <f>M13*COS(K13*PI()/180)</f>
        <v>6.3102035205066951</v>
      </c>
      <c r="O13" s="9">
        <f>J13</f>
        <v>0.26277400000000001</v>
      </c>
      <c r="P13" s="23">
        <f>ABS(N13*O13)</f>
        <v>1.6581574198976263</v>
      </c>
    </row>
    <row r="14" spans="1:16">
      <c r="A14" s="42" t="s">
        <v>13</v>
      </c>
      <c r="B14" s="43"/>
      <c r="C14" s="43"/>
      <c r="D14" s="43"/>
      <c r="E14" s="43"/>
      <c r="F14" s="43"/>
      <c r="G14" s="43"/>
      <c r="H14" s="44"/>
      <c r="I14" s="42" t="s">
        <v>27</v>
      </c>
      <c r="J14" s="43"/>
      <c r="K14" s="43"/>
      <c r="L14" s="43"/>
      <c r="M14" s="43"/>
      <c r="N14" s="43"/>
      <c r="O14" s="43"/>
      <c r="P14" s="44"/>
    </row>
    <row r="15" spans="1:16">
      <c r="A15" s="15" t="s">
        <v>0</v>
      </c>
      <c r="B15" s="16" t="s">
        <v>1</v>
      </c>
      <c r="C15" s="16" t="s">
        <v>2</v>
      </c>
      <c r="D15" s="16" t="s">
        <v>3</v>
      </c>
      <c r="E15" s="16" t="s">
        <v>4</v>
      </c>
      <c r="F15" s="16" t="s">
        <v>5</v>
      </c>
      <c r="G15" s="16" t="s">
        <v>6</v>
      </c>
      <c r="H15" s="17" t="s">
        <v>7</v>
      </c>
      <c r="I15" s="15" t="s">
        <v>0</v>
      </c>
      <c r="J15" s="16" t="s">
        <v>1</v>
      </c>
      <c r="K15" s="16" t="s">
        <v>2</v>
      </c>
      <c r="L15" s="16" t="s">
        <v>3</v>
      </c>
      <c r="M15" s="16" t="s">
        <v>4</v>
      </c>
      <c r="N15" s="16" t="s">
        <v>5</v>
      </c>
      <c r="O15" s="16" t="s">
        <v>6</v>
      </c>
      <c r="P15" s="17" t="s">
        <v>7</v>
      </c>
    </row>
    <row r="16" spans="1:16">
      <c r="A16" s="12">
        <f>(348.611)/1000</f>
        <v>0.348611</v>
      </c>
      <c r="B16" s="13">
        <f>359.02/1000</f>
        <v>0.35902000000000001</v>
      </c>
      <c r="C16" s="9">
        <f>ASIN(A16/B16)*(180/PI())</f>
        <v>76.169505112945075</v>
      </c>
      <c r="D16" s="13">
        <v>2.06</v>
      </c>
      <c r="E16" s="9">
        <f>D16*9.81</f>
        <v>20.208600000000001</v>
      </c>
      <c r="F16" s="9">
        <f>E16*COS(C16*PI()/180)</f>
        <v>4.8308718233104333</v>
      </c>
      <c r="G16" s="9">
        <f>B16</f>
        <v>0.35902000000000001</v>
      </c>
      <c r="H16" s="23">
        <f>ABS(F16*G16)</f>
        <v>1.7343796020049118</v>
      </c>
      <c r="I16" s="12">
        <f>(15.205)/1000</f>
        <v>1.5205E-2</v>
      </c>
      <c r="J16" s="13">
        <f>265.285/1000</f>
        <v>0.26528500000000005</v>
      </c>
      <c r="K16" s="9">
        <f>ASIN(I16/J16)*(180/PI())</f>
        <v>3.2857493623853791</v>
      </c>
      <c r="L16" s="13">
        <v>8.5999999999999993E-2</v>
      </c>
      <c r="M16" s="9">
        <f>L16*9.81</f>
        <v>0.84365999999999997</v>
      </c>
      <c r="N16" s="9">
        <f>M16*COS(K16*PI()/180)</f>
        <v>0.84227310993331517</v>
      </c>
      <c r="O16" s="9">
        <f>J16</f>
        <v>0.26528500000000005</v>
      </c>
      <c r="P16" s="23">
        <f>ABS(N16*O16)</f>
        <v>0.22344242196865954</v>
      </c>
    </row>
    <row r="17" spans="1:16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7"/>
    </row>
    <row r="18" spans="1:16" ht="15.75" thickBot="1">
      <c r="A18" s="61" t="s">
        <v>14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3"/>
      <c r="P18" s="11">
        <f>SUM(P4+P7+P10+P13+H4+H7+H10+H13+H16+P16)</f>
        <v>4.3478896830755627</v>
      </c>
    </row>
    <row r="19" spans="1:16" ht="16.5" thickTop="1" thickBot="1"/>
    <row r="20" spans="1:16" ht="15.75" thickTop="1">
      <c r="A20" s="85" t="s">
        <v>15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7"/>
    </row>
    <row r="21" spans="1:16">
      <c r="A21" s="33" t="s">
        <v>9</v>
      </c>
      <c r="B21" s="34"/>
      <c r="C21" s="34"/>
      <c r="D21" s="34"/>
      <c r="E21" s="34"/>
      <c r="F21" s="34"/>
      <c r="G21" s="34"/>
      <c r="H21" s="35"/>
      <c r="I21" s="33" t="s">
        <v>26</v>
      </c>
      <c r="J21" s="34"/>
      <c r="K21" s="34"/>
      <c r="L21" s="34"/>
      <c r="M21" s="34"/>
      <c r="N21" s="34"/>
      <c r="O21" s="34"/>
      <c r="P21" s="35"/>
    </row>
    <row r="22" spans="1:16">
      <c r="A22" s="4" t="s">
        <v>0</v>
      </c>
      <c r="B22" s="5" t="s">
        <v>1</v>
      </c>
      <c r="C22" s="5" t="s">
        <v>2</v>
      </c>
      <c r="D22" s="5" t="s">
        <v>3</v>
      </c>
      <c r="E22" s="5" t="s">
        <v>4</v>
      </c>
      <c r="F22" s="5" t="s">
        <v>5</v>
      </c>
      <c r="G22" s="5" t="s">
        <v>6</v>
      </c>
      <c r="H22" s="6" t="s">
        <v>7</v>
      </c>
      <c r="I22" s="4" t="s">
        <v>0</v>
      </c>
      <c r="J22" s="5" t="s">
        <v>1</v>
      </c>
      <c r="K22" s="5" t="s">
        <v>2</v>
      </c>
      <c r="L22" s="5" t="s">
        <v>3</v>
      </c>
      <c r="M22" s="5" t="s">
        <v>4</v>
      </c>
      <c r="N22" s="5" t="s">
        <v>5</v>
      </c>
      <c r="O22" s="5" t="s">
        <v>6</v>
      </c>
      <c r="P22" s="6" t="s">
        <v>7</v>
      </c>
    </row>
    <row r="23" spans="1:16">
      <c r="A23" s="12">
        <f>(155.92-121.507)/1000</f>
        <v>3.4412999999999985E-2</v>
      </c>
      <c r="B23" s="13">
        <f>35.19/1000</f>
        <v>3.5189999999999999E-2</v>
      </c>
      <c r="C23" s="9">
        <f>ASIN(A23/B23)*(180/PI())</f>
        <v>77.93740164054806</v>
      </c>
      <c r="D23" s="13">
        <v>0.04</v>
      </c>
      <c r="E23" s="9">
        <f>D23*9.81</f>
        <v>0.39240000000000003</v>
      </c>
      <c r="F23" s="9">
        <f>E23*COS(C23*PI()/180)</f>
        <v>8.2003845866903458E-2</v>
      </c>
      <c r="G23" s="9">
        <f>B23</f>
        <v>3.5189999999999999E-2</v>
      </c>
      <c r="H23" s="23">
        <f>ABS(F23*G23)</f>
        <v>2.8857153360563326E-3</v>
      </c>
      <c r="I23" s="12">
        <f>(249.468-121.507)/1000</f>
        <v>0.12796099999999999</v>
      </c>
      <c r="J23" s="13">
        <f>131.468/1000</f>
        <v>0.131468</v>
      </c>
      <c r="K23" s="9">
        <f>ASIN(I23/J23)*(180/PI())</f>
        <v>76.736270170242548</v>
      </c>
      <c r="L23" s="13">
        <v>8.5999999999999993E-2</v>
      </c>
      <c r="M23" s="9">
        <f>L23*9.81</f>
        <v>0.84365999999999997</v>
      </c>
      <c r="N23" s="9">
        <f>M23*COS(K23*PI()/180)</f>
        <v>0.19356398128587923</v>
      </c>
      <c r="O23" s="9">
        <f>J23</f>
        <v>0.131468</v>
      </c>
      <c r="P23" s="23">
        <f>ABS(N23*O23)</f>
        <v>2.5447469491691972E-2</v>
      </c>
    </row>
    <row r="24" spans="1:16">
      <c r="A24" s="42" t="s">
        <v>10</v>
      </c>
      <c r="B24" s="43"/>
      <c r="C24" s="43"/>
      <c r="D24" s="43"/>
      <c r="E24" s="43"/>
      <c r="F24" s="43"/>
      <c r="G24" s="43"/>
      <c r="H24" s="44"/>
      <c r="I24" s="42" t="s">
        <v>25</v>
      </c>
      <c r="J24" s="43"/>
      <c r="K24" s="43"/>
      <c r="L24" s="43"/>
      <c r="M24" s="43"/>
      <c r="N24" s="43"/>
      <c r="O24" s="43"/>
      <c r="P24" s="44"/>
    </row>
    <row r="25" spans="1:16">
      <c r="A25" s="15" t="s">
        <v>0</v>
      </c>
      <c r="B25" s="16" t="s">
        <v>1</v>
      </c>
      <c r="C25" s="16" t="s">
        <v>2</v>
      </c>
      <c r="D25" s="16" t="s">
        <v>3</v>
      </c>
      <c r="E25" s="16" t="s">
        <v>4</v>
      </c>
      <c r="F25" s="16" t="s">
        <v>5</v>
      </c>
      <c r="G25" s="16" t="s">
        <v>6</v>
      </c>
      <c r="H25" s="17" t="s">
        <v>7</v>
      </c>
      <c r="I25" s="15" t="s">
        <v>0</v>
      </c>
      <c r="J25" s="16" t="s">
        <v>1</v>
      </c>
      <c r="K25" s="16" t="s">
        <v>2</v>
      </c>
      <c r="L25" s="16" t="s">
        <v>3</v>
      </c>
      <c r="M25" s="16" t="s">
        <v>4</v>
      </c>
      <c r="N25" s="16" t="s">
        <v>5</v>
      </c>
      <c r="O25" s="16" t="s">
        <v>6</v>
      </c>
      <c r="P25" s="17" t="s">
        <v>7</v>
      </c>
    </row>
    <row r="26" spans="1:16">
      <c r="A26" s="12">
        <f>(196.157-121.507)/1000</f>
        <v>7.4650000000000008E-2</v>
      </c>
      <c r="B26" s="13">
        <f>78.598/1000</f>
        <v>7.8598000000000001E-2</v>
      </c>
      <c r="C26" s="9">
        <f>ASIN(A26/B26)*(180/PI())</f>
        <v>71.762919053767774</v>
      </c>
      <c r="D26" s="13">
        <v>8.2000000000000003E-2</v>
      </c>
      <c r="E26" s="9">
        <f>D26*9.81</f>
        <v>0.80442000000000002</v>
      </c>
      <c r="F26" s="9">
        <f>E26*COS(C26*PI()/180)</f>
        <v>0.25174296577272331</v>
      </c>
      <c r="G26" s="9">
        <f>B26</f>
        <v>7.8598000000000001E-2</v>
      </c>
      <c r="H26" s="23">
        <f>ABS(F26*G26)</f>
        <v>1.9786493623804507E-2</v>
      </c>
      <c r="I26" s="12">
        <f>(210.84-121.507)/1000</f>
        <v>8.9332999999999996E-2</v>
      </c>
      <c r="J26" s="13">
        <f>114.072/1000</f>
        <v>0.11407200000000001</v>
      </c>
      <c r="K26" s="9">
        <f>ASIN(I26/J26)*(180/PI())</f>
        <v>51.547889522412348</v>
      </c>
      <c r="L26" s="13">
        <v>8.2000000000000003E-2</v>
      </c>
      <c r="M26" s="9">
        <f>L26*9.81</f>
        <v>0.80442000000000002</v>
      </c>
      <c r="N26" s="9">
        <f>M26*COS(K26*PI()/180)</f>
        <v>0.50023685610088475</v>
      </c>
      <c r="O26" s="9">
        <f>J26</f>
        <v>0.11407200000000001</v>
      </c>
      <c r="P26" s="23">
        <f>ABS(N26*O26)</f>
        <v>5.7063018649140131E-2</v>
      </c>
    </row>
    <row r="27" spans="1:16">
      <c r="A27" s="42" t="s">
        <v>11</v>
      </c>
      <c r="B27" s="43"/>
      <c r="C27" s="43"/>
      <c r="D27" s="43"/>
      <c r="E27" s="43"/>
      <c r="F27" s="43"/>
      <c r="G27" s="43"/>
      <c r="H27" s="44"/>
      <c r="I27" s="42" t="s">
        <v>24</v>
      </c>
      <c r="J27" s="43"/>
      <c r="K27" s="43"/>
      <c r="L27" s="43"/>
      <c r="M27" s="43"/>
      <c r="N27" s="43"/>
      <c r="O27" s="43"/>
      <c r="P27" s="44"/>
    </row>
    <row r="28" spans="1:16">
      <c r="A28" s="15" t="s">
        <v>0</v>
      </c>
      <c r="B28" s="16" t="s">
        <v>1</v>
      </c>
      <c r="C28" s="16" t="s">
        <v>2</v>
      </c>
      <c r="D28" s="16" t="s">
        <v>3</v>
      </c>
      <c r="E28" s="16" t="s">
        <v>4</v>
      </c>
      <c r="F28" s="16" t="s">
        <v>5</v>
      </c>
      <c r="G28" s="16" t="s">
        <v>6</v>
      </c>
      <c r="H28" s="17" t="s">
        <v>7</v>
      </c>
      <c r="I28" s="15" t="s">
        <v>0</v>
      </c>
      <c r="J28" s="16" t="s">
        <v>1</v>
      </c>
      <c r="K28" s="16" t="s">
        <v>2</v>
      </c>
      <c r="L28" s="16" t="s">
        <v>3</v>
      </c>
      <c r="M28" s="16" t="s">
        <v>4</v>
      </c>
      <c r="N28" s="16" t="s">
        <v>5</v>
      </c>
      <c r="O28" s="16" t="s">
        <v>6</v>
      </c>
      <c r="P28" s="17" t="s">
        <v>7</v>
      </c>
    </row>
    <row r="29" spans="1:16">
      <c r="A29" s="12">
        <f>(250.386-121.507)/1000</f>
        <v>0.12887899999999999</v>
      </c>
      <c r="B29" s="13">
        <f>132.931/1000</f>
        <v>0.13293100000000002</v>
      </c>
      <c r="C29" s="9">
        <f>ASIN(A29/B29)*(180/PI())</f>
        <v>75.816983453125218</v>
      </c>
      <c r="D29" s="13">
        <v>8.6999999999999994E-2</v>
      </c>
      <c r="E29" s="9">
        <f>D29*9.81</f>
        <v>0.85346999999999995</v>
      </c>
      <c r="F29" s="9">
        <f>E29*COS(C29*PI()/180)</f>
        <v>0.20911723207740759</v>
      </c>
      <c r="G29" s="9">
        <f>B29</f>
        <v>0.13293100000000002</v>
      </c>
      <c r="H29" s="23">
        <f>ABS(F29*G29)</f>
        <v>2.7798162777281872E-2</v>
      </c>
      <c r="I29" s="12">
        <f>(178.436-121.507)/1000</f>
        <v>5.6929E-2</v>
      </c>
      <c r="J29" s="13">
        <f>115.368/1000</f>
        <v>0.115368</v>
      </c>
      <c r="K29" s="9">
        <f>ASIN(I29/J29)*(180/PI())</f>
        <v>29.567970507813282</v>
      </c>
      <c r="L29" s="13">
        <v>0.04</v>
      </c>
      <c r="M29" s="9">
        <f>L29*9.81</f>
        <v>0.39240000000000003</v>
      </c>
      <c r="N29" s="9">
        <f>M29*COS(K29*PI()/180)</f>
        <v>0.34129810785458903</v>
      </c>
      <c r="O29" s="9">
        <f>J29</f>
        <v>0.115368</v>
      </c>
      <c r="P29" s="23">
        <f>ABS(N29*O29)</f>
        <v>3.9374880106968227E-2</v>
      </c>
    </row>
    <row r="30" spans="1:16">
      <c r="A30" s="42" t="s">
        <v>13</v>
      </c>
      <c r="B30" s="43"/>
      <c r="C30" s="43"/>
      <c r="D30" s="43"/>
      <c r="E30" s="43"/>
      <c r="F30" s="43"/>
      <c r="G30" s="43"/>
      <c r="H30" s="44"/>
      <c r="I30" s="42" t="s">
        <v>23</v>
      </c>
      <c r="J30" s="43"/>
      <c r="K30" s="43"/>
      <c r="L30" s="43"/>
      <c r="M30" s="43"/>
      <c r="N30" s="43"/>
      <c r="O30" s="43"/>
      <c r="P30" s="44"/>
    </row>
    <row r="31" spans="1:16">
      <c r="A31" s="15" t="s">
        <v>0</v>
      </c>
      <c r="B31" s="16" t="s">
        <v>1</v>
      </c>
      <c r="C31" s="16" t="s">
        <v>2</v>
      </c>
      <c r="D31" s="16" t="s">
        <v>3</v>
      </c>
      <c r="E31" s="16" t="s">
        <v>4</v>
      </c>
      <c r="F31" s="16" t="s">
        <v>5</v>
      </c>
      <c r="G31" s="16" t="s">
        <v>6</v>
      </c>
      <c r="H31" s="17" t="s">
        <v>7</v>
      </c>
      <c r="I31" s="15" t="s">
        <v>0</v>
      </c>
      <c r="J31" s="16" t="s">
        <v>1</v>
      </c>
      <c r="K31" s="16" t="s">
        <v>2</v>
      </c>
      <c r="L31" s="16" t="s">
        <v>3</v>
      </c>
      <c r="M31" s="16" t="s">
        <v>4</v>
      </c>
      <c r="N31" s="16" t="s">
        <v>5</v>
      </c>
      <c r="O31" s="16" t="s">
        <v>6</v>
      </c>
      <c r="P31" s="17" t="s">
        <v>7</v>
      </c>
    </row>
    <row r="32" spans="1:16">
      <c r="A32" s="12">
        <f>(348.611-121.507)/1000</f>
        <v>0.22710399999999997</v>
      </c>
      <c r="B32" s="13">
        <f>229.324/1000</f>
        <v>0.229324</v>
      </c>
      <c r="C32" s="9">
        <f>ASIN(A32/B32)*(180/PI())</f>
        <v>82.02114926961228</v>
      </c>
      <c r="D32" s="13">
        <v>2.06</v>
      </c>
      <c r="E32" s="9">
        <f>D32*9.81</f>
        <v>20.208600000000001</v>
      </c>
      <c r="F32" s="9">
        <f>E32*COS(C32*PI()/180)</f>
        <v>2.8051064447101228</v>
      </c>
      <c r="G32" s="9">
        <f>B32</f>
        <v>0.229324</v>
      </c>
      <c r="H32" s="23">
        <f>ABS(F32*G32)</f>
        <v>0.64327823032670417</v>
      </c>
      <c r="I32" s="12">
        <f>(121.507-114.432)/1000</f>
        <v>7.0750000000000032E-3</v>
      </c>
      <c r="J32" s="13">
        <f>143.326/1000</f>
        <v>0.14332599999999998</v>
      </c>
      <c r="K32" s="9">
        <f>ASIN(I32/J32)*(180/PI())</f>
        <v>2.8294409089472188</v>
      </c>
      <c r="L32" s="13">
        <v>0.187</v>
      </c>
      <c r="M32" s="9">
        <f>L32*9.81</f>
        <v>1.83447</v>
      </c>
      <c r="N32" s="9">
        <f>M32*COS(K32*PI()/180)</f>
        <v>1.8322336058402831</v>
      </c>
      <c r="O32" s="9">
        <f>J32</f>
        <v>0.14332599999999998</v>
      </c>
      <c r="P32" s="23">
        <f>ABS(N32*O32)</f>
        <v>0.26260671379066436</v>
      </c>
    </row>
    <row r="33" spans="1:16">
      <c r="A33" s="42" t="s">
        <v>28</v>
      </c>
      <c r="B33" s="43"/>
      <c r="C33" s="43"/>
      <c r="D33" s="43"/>
      <c r="E33" s="43"/>
      <c r="F33" s="43"/>
      <c r="G33" s="43"/>
      <c r="H33" s="44"/>
      <c r="I33" s="42" t="s">
        <v>27</v>
      </c>
      <c r="J33" s="43"/>
      <c r="K33" s="43"/>
      <c r="L33" s="43"/>
      <c r="M33" s="43"/>
      <c r="N33" s="43"/>
      <c r="O33" s="43"/>
      <c r="P33" s="44"/>
    </row>
    <row r="34" spans="1:16">
      <c r="A34" s="15" t="s">
        <v>0</v>
      </c>
      <c r="B34" s="16" t="s">
        <v>1</v>
      </c>
      <c r="C34" s="16" t="s">
        <v>2</v>
      </c>
      <c r="D34" s="16" t="s">
        <v>3</v>
      </c>
      <c r="E34" s="16" t="s">
        <v>4</v>
      </c>
      <c r="F34" s="16" t="s">
        <v>5</v>
      </c>
      <c r="G34" s="16" t="s">
        <v>6</v>
      </c>
      <c r="H34" s="17" t="s">
        <v>7</v>
      </c>
      <c r="I34" s="15" t="s">
        <v>0</v>
      </c>
      <c r="J34" s="16" t="s">
        <v>1</v>
      </c>
      <c r="K34" s="16" t="s">
        <v>2</v>
      </c>
      <c r="L34" s="16" t="s">
        <v>3</v>
      </c>
      <c r="M34" s="16" t="s">
        <v>4</v>
      </c>
      <c r="N34" s="16" t="s">
        <v>5</v>
      </c>
      <c r="O34" s="16" t="s">
        <v>6</v>
      </c>
      <c r="P34" s="17" t="s">
        <v>7</v>
      </c>
    </row>
    <row r="35" spans="1:16">
      <c r="A35" s="12">
        <f>(121.507-42.969)/1000</f>
        <v>7.8538000000000011E-2</v>
      </c>
      <c r="B35" s="13">
        <f>192.775/1000</f>
        <v>0.192775</v>
      </c>
      <c r="C35" s="9">
        <f>ASIN(A35/B35)*(180/PI())</f>
        <v>24.04208795944993</v>
      </c>
      <c r="D35" s="13">
        <v>8.5999999999999993E-2</v>
      </c>
      <c r="E35" s="9">
        <f>D35*9.81</f>
        <v>0.84365999999999997</v>
      </c>
      <c r="F35" s="9">
        <f>E35*COS(C35*PI()/180)</f>
        <v>0.77046948587514175</v>
      </c>
      <c r="G35" s="9">
        <f>B35</f>
        <v>0.192775</v>
      </c>
      <c r="H35" s="23">
        <f>ABS(F35*G35)</f>
        <v>0.14852725513958046</v>
      </c>
      <c r="I35" s="12">
        <f>(121.507-15.205)/1000</f>
        <v>0.10630200000000001</v>
      </c>
      <c r="J35" s="13">
        <f>237.951/1000</f>
        <v>0.237951</v>
      </c>
      <c r="K35" s="9">
        <f>ASIN(I35/J35)*(180/PI())</f>
        <v>26.534655480384121</v>
      </c>
      <c r="L35" s="13">
        <v>8.5999999999999993E-2</v>
      </c>
      <c r="M35" s="9">
        <f>L35*9.81</f>
        <v>0.84365999999999997</v>
      </c>
      <c r="N35" s="9">
        <f>M35*COS(K35*PI()/180)</f>
        <v>0.75479249529190007</v>
      </c>
      <c r="O35" s="9">
        <f>J35</f>
        <v>0.237951</v>
      </c>
      <c r="P35" s="23">
        <f>ABS(N35*O35)</f>
        <v>0.17960362904720292</v>
      </c>
    </row>
    <row r="36" spans="1:16">
      <c r="A36" s="45"/>
      <c r="B36" s="46"/>
      <c r="C36" s="46"/>
      <c r="D36" s="46"/>
      <c r="E36" s="46"/>
      <c r="F36" s="46"/>
      <c r="G36" s="46"/>
      <c r="H36" s="47"/>
      <c r="I36" s="45"/>
      <c r="J36" s="46"/>
      <c r="K36" s="46"/>
      <c r="L36" s="46"/>
      <c r="M36" s="46"/>
      <c r="N36" s="46"/>
      <c r="O36" s="46"/>
      <c r="P36" s="47"/>
    </row>
    <row r="37" spans="1:16" ht="15.75" thickBot="1">
      <c r="A37" s="70" t="s">
        <v>14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2"/>
      <c r="P37" s="11">
        <f>SUM(P23+P26+P29+P32+H23+H26+H29+H32+H35+P35)</f>
        <v>1.4063715682890949</v>
      </c>
    </row>
    <row r="38" spans="1:16" ht="16.5" thickTop="1" thickBot="1"/>
    <row r="39" spans="1:16" ht="15.75" thickTop="1">
      <c r="A39" s="52" t="s">
        <v>18</v>
      </c>
      <c r="B39" s="53"/>
      <c r="C39" s="53"/>
      <c r="D39" s="53"/>
      <c r="E39" s="53"/>
      <c r="F39" s="53"/>
      <c r="G39" s="53"/>
      <c r="H39" s="54"/>
    </row>
    <row r="40" spans="1:16">
      <c r="A40" s="73" t="s">
        <v>13</v>
      </c>
      <c r="B40" s="74"/>
      <c r="C40" s="74"/>
      <c r="D40" s="74"/>
      <c r="E40" s="74"/>
      <c r="F40" s="74"/>
      <c r="G40" s="74"/>
      <c r="H40" s="75"/>
    </row>
    <row r="41" spans="1:16">
      <c r="A41" s="4" t="s">
        <v>0</v>
      </c>
      <c r="B41" s="5" t="s">
        <v>1</v>
      </c>
      <c r="C41" s="5" t="s">
        <v>2</v>
      </c>
      <c r="D41" s="5" t="s">
        <v>3</v>
      </c>
      <c r="E41" s="5" t="s">
        <v>4</v>
      </c>
      <c r="F41" s="5" t="s">
        <v>5</v>
      </c>
      <c r="G41" s="5" t="s">
        <v>6</v>
      </c>
      <c r="H41" s="6" t="s">
        <v>7</v>
      </c>
    </row>
    <row r="42" spans="1:16">
      <c r="A42" s="7">
        <f>(348.611-239.438)/1000</f>
        <v>0.10917300000000001</v>
      </c>
      <c r="B42" s="8">
        <f>109.174/1000</f>
        <v>0.10917400000000001</v>
      </c>
      <c r="C42" s="9">
        <f>ASIN(A42/B42)*(180/PI())</f>
        <v>89.754767316536487</v>
      </c>
      <c r="D42" s="8">
        <v>2.06</v>
      </c>
      <c r="E42" s="9">
        <f>D42*9.81</f>
        <v>20.208600000000001</v>
      </c>
      <c r="F42" s="9">
        <f>E42*COS(C42*PI()/180)</f>
        <v>8.6494923673644017E-2</v>
      </c>
      <c r="G42" s="9">
        <f>B42</f>
        <v>0.10917400000000001</v>
      </c>
      <c r="H42" s="10">
        <f>ABS(F42*G42)</f>
        <v>9.4429967971464118E-3</v>
      </c>
    </row>
    <row r="43" spans="1:16">
      <c r="A43" s="73" t="s">
        <v>25</v>
      </c>
      <c r="B43" s="74"/>
      <c r="C43" s="74"/>
      <c r="D43" s="74"/>
      <c r="E43" s="74"/>
      <c r="F43" s="74"/>
      <c r="G43" s="74"/>
      <c r="H43" s="75"/>
    </row>
    <row r="44" spans="1:16">
      <c r="A44" s="4" t="s">
        <v>0</v>
      </c>
      <c r="B44" s="5" t="s">
        <v>1</v>
      </c>
      <c r="C44" s="5" t="s">
        <v>2</v>
      </c>
      <c r="D44" s="5" t="s">
        <v>3</v>
      </c>
      <c r="E44" s="5" t="s">
        <v>4</v>
      </c>
      <c r="F44" s="5" t="s">
        <v>5</v>
      </c>
      <c r="G44" s="5" t="s">
        <v>6</v>
      </c>
      <c r="H44" s="6" t="s">
        <v>7</v>
      </c>
    </row>
    <row r="45" spans="1:16">
      <c r="A45" s="7">
        <f>(239.438-210.84)/1000</f>
        <v>2.8597999999999985E-2</v>
      </c>
      <c r="B45" s="8">
        <f>44.586/1000</f>
        <v>4.4586000000000001E-2</v>
      </c>
      <c r="C45" s="9">
        <f>ASIN(A45/B45)*(180/PI())</f>
        <v>39.897197192876654</v>
      </c>
      <c r="D45" s="8">
        <v>8.2000000000000003E-2</v>
      </c>
      <c r="E45" s="9">
        <f>D45*9.81</f>
        <v>0.80442000000000002</v>
      </c>
      <c r="F45" s="9">
        <f>E45*COS(C45*PI()/180)</f>
        <v>0.61714823223370496</v>
      </c>
      <c r="G45" s="9">
        <f>B45</f>
        <v>4.4586000000000001E-2</v>
      </c>
      <c r="H45" s="10">
        <f>ABS(F45*G45)</f>
        <v>2.7516171082371969E-2</v>
      </c>
    </row>
    <row r="46" spans="1:16">
      <c r="A46" s="73" t="s">
        <v>24</v>
      </c>
      <c r="B46" s="74"/>
      <c r="C46" s="74"/>
      <c r="D46" s="74"/>
      <c r="E46" s="74"/>
      <c r="F46" s="74"/>
      <c r="G46" s="74"/>
      <c r="H46" s="75"/>
    </row>
    <row r="47" spans="1:16">
      <c r="A47" s="4" t="s">
        <v>0</v>
      </c>
      <c r="B47" s="5" t="s">
        <v>1</v>
      </c>
      <c r="C47" s="5" t="s">
        <v>2</v>
      </c>
      <c r="D47" s="5" t="s">
        <v>3</v>
      </c>
      <c r="E47" s="5" t="s">
        <v>4</v>
      </c>
      <c r="F47" s="5" t="s">
        <v>5</v>
      </c>
      <c r="G47" s="5" t="s">
        <v>6</v>
      </c>
      <c r="H47" s="6" t="s">
        <v>7</v>
      </c>
    </row>
    <row r="48" spans="1:16">
      <c r="A48" s="7">
        <f>(239.438-178.436)/1000</f>
        <v>6.100199999999998E-2</v>
      </c>
      <c r="B48" s="8">
        <f>87.815/1000</f>
        <v>8.7815000000000004E-2</v>
      </c>
      <c r="C48" s="9">
        <f>ASIN(A48/B48)*(180/PI())</f>
        <v>44.000521722085395</v>
      </c>
      <c r="D48" s="8">
        <v>0.04</v>
      </c>
      <c r="E48" s="9">
        <f>D48*9.81</f>
        <v>0.39240000000000003</v>
      </c>
      <c r="F48" s="9">
        <f>E48*COS(C48*PI()/180)</f>
        <v>0.28226645555497837</v>
      </c>
      <c r="G48" s="9">
        <f>B48</f>
        <v>8.7815000000000004E-2</v>
      </c>
      <c r="H48" s="10">
        <f>ABS(F48*G48)</f>
        <v>2.4787228794560426E-2</v>
      </c>
    </row>
    <row r="49" spans="1:8">
      <c r="A49" s="73" t="s">
        <v>23</v>
      </c>
      <c r="B49" s="74"/>
      <c r="C49" s="74"/>
      <c r="D49" s="74"/>
      <c r="E49" s="74"/>
      <c r="F49" s="74"/>
      <c r="G49" s="74"/>
      <c r="H49" s="75"/>
    </row>
    <row r="50" spans="1:8">
      <c r="A50" s="4" t="s">
        <v>0</v>
      </c>
      <c r="B50" s="5" t="s">
        <v>1</v>
      </c>
      <c r="C50" s="5" t="s">
        <v>2</v>
      </c>
      <c r="D50" s="5" t="s">
        <v>3</v>
      </c>
      <c r="E50" s="5" t="s">
        <v>4</v>
      </c>
      <c r="F50" s="5" t="s">
        <v>5</v>
      </c>
      <c r="G50" s="5" t="s">
        <v>6</v>
      </c>
      <c r="H50" s="6" t="s">
        <v>7</v>
      </c>
    </row>
    <row r="51" spans="1:8">
      <c r="A51" s="7">
        <f>(239.438-114.432)/1000</f>
        <v>0.12500599999999998</v>
      </c>
      <c r="B51" s="8">
        <f>163.785/1000</f>
        <v>0.16378499999999999</v>
      </c>
      <c r="C51" s="9">
        <f>ASIN(A51/B51)*(180/PI())</f>
        <v>49.749983723175504</v>
      </c>
      <c r="D51" s="8">
        <v>0.187</v>
      </c>
      <c r="E51" s="9">
        <f>D51*9.81</f>
        <v>1.83447</v>
      </c>
      <c r="F51" s="9">
        <f>E51*COS(C51*PI()/180)</f>
        <v>1.1852954546895293</v>
      </c>
      <c r="G51" s="9">
        <f>B51</f>
        <v>0.16378499999999999</v>
      </c>
      <c r="H51" s="10">
        <f>ABS(F51*G51)</f>
        <v>0.19413361604632454</v>
      </c>
    </row>
    <row r="52" spans="1:8">
      <c r="A52" s="73" t="s">
        <v>28</v>
      </c>
      <c r="B52" s="74"/>
      <c r="C52" s="74"/>
      <c r="D52" s="74"/>
      <c r="E52" s="74"/>
      <c r="F52" s="74"/>
      <c r="G52" s="74"/>
      <c r="H52" s="75"/>
    </row>
    <row r="53" spans="1:8">
      <c r="A53" s="4" t="s">
        <v>0</v>
      </c>
      <c r="B53" s="5" t="s">
        <v>1</v>
      </c>
      <c r="C53" s="5" t="s">
        <v>2</v>
      </c>
      <c r="D53" s="5" t="s">
        <v>3</v>
      </c>
      <c r="E53" s="5" t="s">
        <v>4</v>
      </c>
      <c r="F53" s="5" t="s">
        <v>5</v>
      </c>
      <c r="G53" s="5" t="s">
        <v>6</v>
      </c>
      <c r="H53" s="6" t="s">
        <v>7</v>
      </c>
    </row>
    <row r="54" spans="1:8">
      <c r="A54" s="7">
        <f>(239.438-42.969)/1000</f>
        <v>0.196469</v>
      </c>
      <c r="B54" s="8">
        <f>240.562/1000</f>
        <v>0.240562</v>
      </c>
      <c r="C54" s="9">
        <f>ASIN(A54/B54)*(180/PI())</f>
        <v>54.756634003041398</v>
      </c>
      <c r="D54" s="8">
        <v>8.5999999999999993E-2</v>
      </c>
      <c r="E54" s="9">
        <f>D54*9.81</f>
        <v>0.84365999999999997</v>
      </c>
      <c r="F54" s="9">
        <f>E54*COS(C54*PI()/180)</f>
        <v>0.48683453548995598</v>
      </c>
      <c r="G54" s="9">
        <f>B54</f>
        <v>0.240562</v>
      </c>
      <c r="H54" s="10">
        <f>ABS(F54*G54)</f>
        <v>0.11711388952653479</v>
      </c>
    </row>
    <row r="55" spans="1:8">
      <c r="A55" s="73" t="s">
        <v>27</v>
      </c>
      <c r="B55" s="74"/>
      <c r="C55" s="74"/>
      <c r="D55" s="74"/>
      <c r="E55" s="74"/>
      <c r="F55" s="74"/>
      <c r="G55" s="74"/>
      <c r="H55" s="75"/>
    </row>
    <row r="56" spans="1:8">
      <c r="A56" s="4" t="s">
        <v>0</v>
      </c>
      <c r="B56" s="5" t="s">
        <v>1</v>
      </c>
      <c r="C56" s="5" t="s">
        <v>2</v>
      </c>
      <c r="D56" s="5" t="s">
        <v>3</v>
      </c>
      <c r="E56" s="5" t="s">
        <v>4</v>
      </c>
      <c r="F56" s="5" t="s">
        <v>5</v>
      </c>
      <c r="G56" s="5" t="s">
        <v>6</v>
      </c>
      <c r="H56" s="6" t="s">
        <v>7</v>
      </c>
    </row>
    <row r="57" spans="1:8">
      <c r="A57" s="7">
        <f>(239.438-15.205)/1000</f>
        <v>0.22423299999999999</v>
      </c>
      <c r="B57" s="8">
        <f>284.114/1000</f>
        <v>0.28411399999999998</v>
      </c>
      <c r="C57" s="9">
        <f>ASIN(A57/B57)*(180/PI())</f>
        <v>52.114172741646293</v>
      </c>
      <c r="D57" s="8">
        <v>8.5999999999999993E-2</v>
      </c>
      <c r="E57" s="9">
        <f>D57*9.81</f>
        <v>0.84365999999999997</v>
      </c>
      <c r="F57" s="9">
        <f>E57*COS(C57*PI()/180)</f>
        <v>0.51808316322002201</v>
      </c>
      <c r="G57" s="9">
        <f>B57</f>
        <v>0.28411399999999998</v>
      </c>
      <c r="H57" s="10">
        <f>ABS(F57*G57)</f>
        <v>0.14719467983509332</v>
      </c>
    </row>
    <row r="58" spans="1:8">
      <c r="A58" s="76"/>
      <c r="B58" s="77"/>
      <c r="C58" s="77"/>
      <c r="D58" s="77"/>
      <c r="E58" s="77"/>
      <c r="F58" s="77"/>
      <c r="G58" s="77"/>
      <c r="H58" s="78"/>
    </row>
    <row r="59" spans="1:8" ht="15.75" thickBot="1">
      <c r="A59" s="79" t="s">
        <v>14</v>
      </c>
      <c r="B59" s="80"/>
      <c r="C59" s="80"/>
      <c r="D59" s="80"/>
      <c r="E59" s="80"/>
      <c r="F59" s="80"/>
      <c r="G59" s="80"/>
      <c r="H59" s="11">
        <f>SUM(H42+H45+H48+H51+H54+H57)</f>
        <v>0.52018858208203145</v>
      </c>
    </row>
    <row r="60" spans="1:8" ht="15.75" thickTop="1"/>
  </sheetData>
  <mergeCells count="36">
    <mergeCell ref="A2:H2"/>
    <mergeCell ref="A5:H5"/>
    <mergeCell ref="A8:H8"/>
    <mergeCell ref="A11:H11"/>
    <mergeCell ref="A59:G59"/>
    <mergeCell ref="I2:P2"/>
    <mergeCell ref="I5:P5"/>
    <mergeCell ref="I8:P8"/>
    <mergeCell ref="I11:P11"/>
    <mergeCell ref="A18:O18"/>
    <mergeCell ref="A14:H14"/>
    <mergeCell ref="A33:H33"/>
    <mergeCell ref="A36:H36"/>
    <mergeCell ref="A39:H39"/>
    <mergeCell ref="A40:H40"/>
    <mergeCell ref="A58:H58"/>
    <mergeCell ref="A43:H43"/>
    <mergeCell ref="A46:H46"/>
    <mergeCell ref="A49:H49"/>
    <mergeCell ref="A52:H52"/>
    <mergeCell ref="A55:H55"/>
    <mergeCell ref="I30:P30"/>
    <mergeCell ref="I36:P36"/>
    <mergeCell ref="A1:P1"/>
    <mergeCell ref="A20:P20"/>
    <mergeCell ref="A37:O37"/>
    <mergeCell ref="I33:P33"/>
    <mergeCell ref="I14:P14"/>
    <mergeCell ref="A17:P17"/>
    <mergeCell ref="I21:P21"/>
    <mergeCell ref="I24:P24"/>
    <mergeCell ref="I27:P27"/>
    <mergeCell ref="A21:H21"/>
    <mergeCell ref="A24:H24"/>
    <mergeCell ref="A27:H27"/>
    <mergeCell ref="A30:H30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0"/>
  <sheetViews>
    <sheetView tabSelected="1" topLeftCell="A25" zoomScaleNormal="100" workbookViewId="0">
      <selection activeCell="N47" sqref="N47"/>
    </sheetView>
  </sheetViews>
  <sheetFormatPr defaultRowHeight="15"/>
  <cols>
    <col min="3" max="3" width="13.7109375" bestFit="1" customWidth="1"/>
    <col min="4" max="4" width="10.28515625" bestFit="1" customWidth="1"/>
    <col min="8" max="8" width="15.42578125" bestFit="1" customWidth="1"/>
    <col min="11" max="11" width="13.7109375" bestFit="1" customWidth="1"/>
    <col min="12" max="12" width="10.28515625" bestFit="1" customWidth="1"/>
    <col min="16" max="16" width="15.42578125" bestFit="1" customWidth="1"/>
  </cols>
  <sheetData>
    <row r="1" spans="1:16" ht="15.75" thickTop="1">
      <c r="A1" s="82" t="s">
        <v>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4"/>
    </row>
    <row r="2" spans="1:16">
      <c r="A2" s="39" t="s">
        <v>29</v>
      </c>
      <c r="B2" s="40"/>
      <c r="C2" s="40"/>
      <c r="D2" s="40"/>
      <c r="E2" s="40"/>
      <c r="F2" s="40"/>
      <c r="G2" s="40"/>
      <c r="H2" s="41"/>
      <c r="I2" s="39" t="s">
        <v>34</v>
      </c>
      <c r="J2" s="40"/>
      <c r="K2" s="40"/>
      <c r="L2" s="40"/>
      <c r="M2" s="40"/>
      <c r="N2" s="40"/>
      <c r="O2" s="40"/>
      <c r="P2" s="41"/>
    </row>
    <row r="3" spans="1:16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6" t="s">
        <v>7</v>
      </c>
      <c r="I3" s="4" t="s">
        <v>0</v>
      </c>
      <c r="J3" s="5" t="s">
        <v>1</v>
      </c>
      <c r="K3" s="5" t="s">
        <v>2</v>
      </c>
      <c r="L3" s="5" t="s">
        <v>3</v>
      </c>
      <c r="M3" s="5" t="s">
        <v>4</v>
      </c>
      <c r="N3" s="5" t="s">
        <v>5</v>
      </c>
      <c r="O3" s="5" t="s">
        <v>6</v>
      </c>
      <c r="P3" s="6" t="s">
        <v>7</v>
      </c>
    </row>
    <row r="4" spans="1:16">
      <c r="A4" s="12">
        <f>(88.341)/1000</f>
        <v>8.8340999999999989E-2</v>
      </c>
      <c r="B4" s="13">
        <f>89.725/1000</f>
        <v>8.9724999999999999E-2</v>
      </c>
      <c r="C4" s="9">
        <f>ASIN(A4/B4)*(180/PI())</f>
        <v>79.923521715467231</v>
      </c>
      <c r="D4" s="13">
        <v>0.187</v>
      </c>
      <c r="E4" s="9">
        <f>D4*9.81</f>
        <v>1.83447</v>
      </c>
      <c r="F4" s="9">
        <f>E4*COS(C4*PI()/180)</f>
        <v>0.32096353419496398</v>
      </c>
      <c r="G4" s="9">
        <f>B4</f>
        <v>8.9724999999999999E-2</v>
      </c>
      <c r="H4" s="23">
        <f>ABS(F4*G4)</f>
        <v>2.8798453105643142E-2</v>
      </c>
      <c r="I4" s="12">
        <f>(189.032)/1000</f>
        <v>0.18903200000000001</v>
      </c>
      <c r="J4" s="13">
        <f>204.299/1000</f>
        <v>0.20429900000000001</v>
      </c>
      <c r="K4" s="9">
        <f>ASIN(I4/J4)*(180/PI())</f>
        <v>67.709299348310552</v>
      </c>
      <c r="L4" s="13">
        <v>0.187</v>
      </c>
      <c r="M4" s="9">
        <f>L4*9.81</f>
        <v>1.83447</v>
      </c>
      <c r="N4" s="9">
        <f>M4*COS(K4*PI()/180)</f>
        <v>0.69582545776135507</v>
      </c>
      <c r="O4" s="9">
        <f>J4</f>
        <v>0.20429900000000001</v>
      </c>
      <c r="P4" s="23">
        <f>ABS(N4*O4)</f>
        <v>0.14215644519518708</v>
      </c>
    </row>
    <row r="5" spans="1:16">
      <c r="A5" s="55" t="s">
        <v>30</v>
      </c>
      <c r="B5" s="56"/>
      <c r="C5" s="56"/>
      <c r="D5" s="56"/>
      <c r="E5" s="56"/>
      <c r="F5" s="56"/>
      <c r="G5" s="56"/>
      <c r="H5" s="57"/>
      <c r="I5" s="55" t="s">
        <v>35</v>
      </c>
      <c r="J5" s="56"/>
      <c r="K5" s="56"/>
      <c r="L5" s="56"/>
      <c r="M5" s="56"/>
      <c r="N5" s="56"/>
      <c r="O5" s="56"/>
      <c r="P5" s="57"/>
    </row>
    <row r="6" spans="1:16">
      <c r="A6" s="15" t="s">
        <v>0</v>
      </c>
      <c r="B6" s="16" t="s">
        <v>1</v>
      </c>
      <c r="C6" s="16" t="s">
        <v>2</v>
      </c>
      <c r="D6" s="16" t="s">
        <v>3</v>
      </c>
      <c r="E6" s="16" t="s">
        <v>4</v>
      </c>
      <c r="F6" s="16" t="s">
        <v>5</v>
      </c>
      <c r="G6" s="16" t="s">
        <v>6</v>
      </c>
      <c r="H6" s="17" t="s">
        <v>7</v>
      </c>
      <c r="I6" s="15" t="s">
        <v>0</v>
      </c>
      <c r="J6" s="16" t="s">
        <v>1</v>
      </c>
      <c r="K6" s="16" t="s">
        <v>2</v>
      </c>
      <c r="L6" s="16" t="s">
        <v>3</v>
      </c>
      <c r="M6" s="16" t="s">
        <v>4</v>
      </c>
      <c r="N6" s="16" t="s">
        <v>5</v>
      </c>
      <c r="O6" s="16" t="s">
        <v>6</v>
      </c>
      <c r="P6" s="17" t="s">
        <v>7</v>
      </c>
    </row>
    <row r="7" spans="1:16">
      <c r="A7" s="12">
        <f>(165.63)/1000</f>
        <v>0.16563</v>
      </c>
      <c r="B7" s="13">
        <f>166.463/1000</f>
        <v>0.166463</v>
      </c>
      <c r="C7" s="9">
        <f>ASIN(A7/B7)*(180/PI())</f>
        <v>84.265671828697876</v>
      </c>
      <c r="D7" s="13">
        <v>0.04</v>
      </c>
      <c r="E7" s="9">
        <f>D7*9.81</f>
        <v>0.39240000000000003</v>
      </c>
      <c r="F7" s="9">
        <f>E7*COS(C7*PI()/180)</f>
        <v>3.9207002728152321E-2</v>
      </c>
      <c r="G7" s="9">
        <f>B7</f>
        <v>0.166463</v>
      </c>
      <c r="H7" s="23">
        <f>ABS(F7*G7)</f>
        <v>6.5265152951364197E-3</v>
      </c>
      <c r="I7" s="12">
        <f>(219.215)/1000</f>
        <v>0.21921499999999999</v>
      </c>
      <c r="J7" s="13">
        <f>234.334/1000</f>
        <v>0.23433400000000001</v>
      </c>
      <c r="K7" s="9">
        <f>ASIN(I7/J7)*(180/PI())</f>
        <v>69.305990051177005</v>
      </c>
      <c r="L7" s="13">
        <v>0.04</v>
      </c>
      <c r="M7" s="9">
        <f>L7*9.81</f>
        <v>0.39240000000000003</v>
      </c>
      <c r="N7" s="9">
        <f>M7*COS(K7*PI()/180)</f>
        <v>0.1386651523827046</v>
      </c>
      <c r="O7" s="9">
        <f>J7</f>
        <v>0.23433400000000001</v>
      </c>
      <c r="P7" s="23">
        <f>ABS(N7*O7)</f>
        <v>3.2493959818448701E-2</v>
      </c>
    </row>
    <row r="8" spans="1:16">
      <c r="A8" s="42" t="s">
        <v>31</v>
      </c>
      <c r="B8" s="43"/>
      <c r="C8" s="43"/>
      <c r="D8" s="43"/>
      <c r="E8" s="43"/>
      <c r="F8" s="43"/>
      <c r="G8" s="43"/>
      <c r="H8" s="44"/>
      <c r="I8" s="42" t="s">
        <v>36</v>
      </c>
      <c r="J8" s="43"/>
      <c r="K8" s="43"/>
      <c r="L8" s="43"/>
      <c r="M8" s="43"/>
      <c r="N8" s="43"/>
      <c r="O8" s="43"/>
      <c r="P8" s="44"/>
    </row>
    <row r="9" spans="1:16">
      <c r="A9" s="15" t="s">
        <v>0</v>
      </c>
      <c r="B9" s="16" t="s">
        <v>1</v>
      </c>
      <c r="C9" s="16" t="s">
        <v>2</v>
      </c>
      <c r="D9" s="16" t="s">
        <v>3</v>
      </c>
      <c r="E9" s="16" t="s">
        <v>4</v>
      </c>
      <c r="F9" s="16" t="s">
        <v>5</v>
      </c>
      <c r="G9" s="16" t="s">
        <v>6</v>
      </c>
      <c r="H9" s="17" t="s">
        <v>7</v>
      </c>
      <c r="I9" s="15" t="s">
        <v>0</v>
      </c>
      <c r="J9" s="16" t="s">
        <v>1</v>
      </c>
      <c r="K9" s="16" t="s">
        <v>2</v>
      </c>
      <c r="L9" s="16" t="s">
        <v>3</v>
      </c>
      <c r="M9" s="16" t="s">
        <v>4</v>
      </c>
      <c r="N9" s="16" t="s">
        <v>5</v>
      </c>
      <c r="O9" s="16" t="s">
        <v>6</v>
      </c>
      <c r="P9" s="17" t="s">
        <v>7</v>
      </c>
    </row>
    <row r="10" spans="1:16">
      <c r="A10" s="12">
        <f>(208.869)/1000</f>
        <v>0.208869</v>
      </c>
      <c r="B10" s="13">
        <f>209.228/1000</f>
        <v>0.209228</v>
      </c>
      <c r="C10" s="9">
        <f>ASIN(A10/B10)*(180/PI())</f>
        <v>86.643110309832338</v>
      </c>
      <c r="D10" s="13">
        <v>8.2000000000000003E-2</v>
      </c>
      <c r="E10" s="9">
        <f>D10*9.81</f>
        <v>0.80442000000000002</v>
      </c>
      <c r="F10" s="9">
        <f>E10*COS(C10*PI()/180)</f>
        <v>4.710302578401207E-2</v>
      </c>
      <c r="G10" s="9">
        <f>B10</f>
        <v>0.209228</v>
      </c>
      <c r="H10" s="23">
        <f>ABS(F10*G10)</f>
        <v>9.8552718787372779E-3</v>
      </c>
      <c r="I10" s="12">
        <f>(238.41)/1000</f>
        <v>0.23840999999999998</v>
      </c>
      <c r="J10" s="13">
        <f>242.403/1000</f>
        <v>0.24240299999999998</v>
      </c>
      <c r="K10" s="9">
        <f>ASIN(I10/J10)*(180/PI())</f>
        <v>79.58603147151878</v>
      </c>
      <c r="L10" s="13">
        <v>8.2000000000000003E-2</v>
      </c>
      <c r="M10" s="9">
        <f>L10*9.81</f>
        <v>0.80442000000000002</v>
      </c>
      <c r="N10" s="9">
        <f>M10*COS(K10*PI()/180)</f>
        <v>0.14540609965633433</v>
      </c>
      <c r="O10" s="9">
        <f>J10</f>
        <v>0.24240299999999998</v>
      </c>
      <c r="P10" s="23">
        <f>ABS(N10*O10)</f>
        <v>3.5246874774994406E-2</v>
      </c>
    </row>
    <row r="11" spans="1:16">
      <c r="A11" s="42" t="s">
        <v>32</v>
      </c>
      <c r="B11" s="43"/>
      <c r="C11" s="43"/>
      <c r="D11" s="43"/>
      <c r="E11" s="43"/>
      <c r="F11" s="43"/>
      <c r="G11" s="43"/>
      <c r="H11" s="44"/>
      <c r="I11" s="42" t="s">
        <v>37</v>
      </c>
      <c r="J11" s="43"/>
      <c r="K11" s="43"/>
      <c r="L11" s="43"/>
      <c r="M11" s="43"/>
      <c r="N11" s="43"/>
      <c r="O11" s="43"/>
      <c r="P11" s="44"/>
    </row>
    <row r="12" spans="1:16">
      <c r="A12" s="15" t="s">
        <v>0</v>
      </c>
      <c r="B12" s="16" t="s">
        <v>1</v>
      </c>
      <c r="C12" s="16" t="s">
        <v>2</v>
      </c>
      <c r="D12" s="16" t="s">
        <v>3</v>
      </c>
      <c r="E12" s="16" t="s">
        <v>4</v>
      </c>
      <c r="F12" s="16" t="s">
        <v>5</v>
      </c>
      <c r="G12" s="16" t="s">
        <v>6</v>
      </c>
      <c r="H12" s="17" t="s">
        <v>7</v>
      </c>
      <c r="I12" s="15" t="s">
        <v>0</v>
      </c>
      <c r="J12" s="16" t="s">
        <v>1</v>
      </c>
      <c r="K12" s="16" t="s">
        <v>2</v>
      </c>
      <c r="L12" s="16" t="s">
        <v>3</v>
      </c>
      <c r="M12" s="16" t="s">
        <v>4</v>
      </c>
      <c r="N12" s="16" t="s">
        <v>5</v>
      </c>
      <c r="O12" s="16" t="s">
        <v>6</v>
      </c>
      <c r="P12" s="17" t="s">
        <v>7</v>
      </c>
    </row>
    <row r="13" spans="1:16">
      <c r="A13" s="12">
        <f>(260.884)/1000</f>
        <v>0.260884</v>
      </c>
      <c r="B13" s="13">
        <f>260.94/1000</f>
        <v>0.26094000000000001</v>
      </c>
      <c r="C13" s="9">
        <f>ASIN(A13/B13)*(180/PI())</f>
        <v>88.81294980971262</v>
      </c>
      <c r="D13" s="13">
        <v>8.6999999999999994E-2</v>
      </c>
      <c r="E13" s="9">
        <f>D13*9.81</f>
        <v>0.85346999999999995</v>
      </c>
      <c r="F13" s="9">
        <f>E13*COS(C13*PI()/180)</f>
        <v>1.7680870376010183E-2</v>
      </c>
      <c r="G13" s="9">
        <f>B13</f>
        <v>0.26094000000000001</v>
      </c>
      <c r="H13" s="23">
        <f>ABS(F13*G13)</f>
        <v>4.613646315916097E-3</v>
      </c>
      <c r="I13" s="12">
        <f>(259.794)/1000</f>
        <v>0.25979399999999997</v>
      </c>
      <c r="J13" s="13">
        <f>259.883/1000</f>
        <v>0.25988299999999998</v>
      </c>
      <c r="K13" s="9">
        <f>ASIN(I13/J13)*(180/PI())</f>
        <v>88.500466775365467</v>
      </c>
      <c r="L13" s="13">
        <v>8.5999999999999993E-2</v>
      </c>
      <c r="M13" s="9">
        <f>L13*9.81</f>
        <v>0.84365999999999997</v>
      </c>
      <c r="N13" s="9">
        <f>M13*COS(K13*PI()/180)</f>
        <v>2.2077573462485029E-2</v>
      </c>
      <c r="O13" s="9">
        <f>J13</f>
        <v>0.25988299999999998</v>
      </c>
      <c r="P13" s="23">
        <f>ABS(N13*O13)</f>
        <v>5.7375860241509966E-3</v>
      </c>
    </row>
    <row r="14" spans="1:16">
      <c r="A14" s="42" t="s">
        <v>33</v>
      </c>
      <c r="B14" s="43"/>
      <c r="C14" s="43"/>
      <c r="D14" s="43"/>
      <c r="E14" s="43"/>
      <c r="F14" s="43"/>
      <c r="G14" s="43"/>
      <c r="H14" s="44"/>
      <c r="I14" s="88"/>
      <c r="J14" s="89"/>
      <c r="K14" s="89"/>
      <c r="L14" s="89"/>
      <c r="M14" s="89"/>
      <c r="N14" s="89"/>
      <c r="O14" s="89"/>
      <c r="P14" s="90"/>
    </row>
    <row r="15" spans="1:16">
      <c r="A15" s="15" t="s">
        <v>0</v>
      </c>
      <c r="B15" s="16" t="s">
        <v>1</v>
      </c>
      <c r="C15" s="16" t="s">
        <v>2</v>
      </c>
      <c r="D15" s="16" t="s">
        <v>3</v>
      </c>
      <c r="E15" s="16" t="s">
        <v>4</v>
      </c>
      <c r="F15" s="16" t="s">
        <v>5</v>
      </c>
      <c r="G15" s="16" t="s">
        <v>6</v>
      </c>
      <c r="H15" s="17" t="s">
        <v>7</v>
      </c>
      <c r="I15" s="91"/>
      <c r="J15" s="92"/>
      <c r="K15" s="92"/>
      <c r="L15" s="92"/>
      <c r="M15" s="92"/>
      <c r="N15" s="92"/>
      <c r="O15" s="92"/>
      <c r="P15" s="93"/>
    </row>
    <row r="16" spans="1:16">
      <c r="A16" s="12">
        <f>(361.285)/1000</f>
        <v>0.36128500000000002</v>
      </c>
      <c r="B16" s="13">
        <f>361.287/1000</f>
        <v>0.36128699999999997</v>
      </c>
      <c r="C16" s="9">
        <f>ASIN(A16/B16)*(180/PI())</f>
        <v>89.809354455072011</v>
      </c>
      <c r="D16" s="13">
        <v>2.06</v>
      </c>
      <c r="E16" s="9">
        <f>D16*9.81</f>
        <v>20.208600000000001</v>
      </c>
      <c r="F16" s="9">
        <f>E16*COS(C16*PI()/180)</f>
        <v>6.7241819254297328E-2</v>
      </c>
      <c r="G16" s="9">
        <f>B16</f>
        <v>0.36128699999999997</v>
      </c>
      <c r="H16" s="23">
        <f>ABS(F16*G16)</f>
        <v>2.4293595152927318E-2</v>
      </c>
      <c r="I16" s="94"/>
      <c r="J16" s="95"/>
      <c r="K16" s="95"/>
      <c r="L16" s="95"/>
      <c r="M16" s="95"/>
      <c r="N16" s="95"/>
      <c r="O16" s="95"/>
      <c r="P16" s="96"/>
    </row>
    <row r="17" spans="1:16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7"/>
    </row>
    <row r="18" spans="1:16" ht="15.75" thickBot="1">
      <c r="A18" s="61" t="s">
        <v>14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3"/>
      <c r="P18" s="11">
        <f>SUM(H4+H7+H10+H13+H16+P13+P10+P7+P4)</f>
        <v>0.28972234756114146</v>
      </c>
    </row>
    <row r="19" spans="1:16" ht="16.5" thickTop="1" thickBot="1"/>
    <row r="20" spans="1:16" ht="15.75" thickTop="1">
      <c r="A20" s="85" t="s">
        <v>15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7"/>
    </row>
    <row r="21" spans="1:16">
      <c r="A21" s="33" t="s">
        <v>38</v>
      </c>
      <c r="B21" s="34"/>
      <c r="C21" s="34"/>
      <c r="D21" s="34"/>
      <c r="E21" s="34"/>
      <c r="F21" s="34"/>
      <c r="G21" s="34"/>
      <c r="H21" s="35"/>
      <c r="I21" s="33" t="s">
        <v>43</v>
      </c>
      <c r="J21" s="34"/>
      <c r="K21" s="34"/>
      <c r="L21" s="34"/>
      <c r="M21" s="34"/>
      <c r="N21" s="34"/>
      <c r="O21" s="34"/>
      <c r="P21" s="35"/>
    </row>
    <row r="22" spans="1:16">
      <c r="A22" s="4" t="s">
        <v>0</v>
      </c>
      <c r="B22" s="5" t="s">
        <v>1</v>
      </c>
      <c r="C22" s="5" t="s">
        <v>2</v>
      </c>
      <c r="D22" s="5" t="s">
        <v>3</v>
      </c>
      <c r="E22" s="5" t="s">
        <v>4</v>
      </c>
      <c r="F22" s="5" t="s">
        <v>5</v>
      </c>
      <c r="G22" s="5" t="s">
        <v>6</v>
      </c>
      <c r="H22" s="6" t="s">
        <v>7</v>
      </c>
      <c r="I22" s="4" t="s">
        <v>0</v>
      </c>
      <c r="J22" s="5" t="s">
        <v>1</v>
      </c>
      <c r="K22" s="5" t="s">
        <v>2</v>
      </c>
      <c r="L22" s="5" t="s">
        <v>3</v>
      </c>
      <c r="M22" s="5" t="s">
        <v>4</v>
      </c>
      <c r="N22" s="5" t="s">
        <v>5</v>
      </c>
      <c r="O22" s="5" t="s">
        <v>6</v>
      </c>
      <c r="P22" s="6" t="s">
        <v>7</v>
      </c>
    </row>
    <row r="23" spans="1:16">
      <c r="A23" s="12">
        <f>(165.63-129.995)/1000</f>
        <v>3.5634999999999993E-2</v>
      </c>
      <c r="B23" s="13">
        <f>36.185/1000</f>
        <v>3.6185000000000002E-2</v>
      </c>
      <c r="C23" s="9">
        <f>ASIN(A23/B23)*(180/PI())</f>
        <v>79.997551587264496</v>
      </c>
      <c r="D23" s="13">
        <v>0.04</v>
      </c>
      <c r="E23" s="9">
        <f>D23*9.81</f>
        <v>0.39240000000000003</v>
      </c>
      <c r="F23" s="9">
        <f>E23*COS(C23*PI()/180)</f>
        <v>6.8156058480687315E-2</v>
      </c>
      <c r="G23" s="9">
        <f>B23</f>
        <v>3.6185000000000002E-2</v>
      </c>
      <c r="H23" s="23">
        <f>ABS(F23*G23)</f>
        <v>2.4662269761236708E-3</v>
      </c>
      <c r="I23" s="12">
        <f>(259.794-129.995)/1000</f>
        <v>0.12979899999999997</v>
      </c>
      <c r="J23" s="13">
        <f>133.162/1000</f>
        <v>0.133162</v>
      </c>
      <c r="K23" s="9">
        <f>ASIN(I23/J23)*(180/PI())</f>
        <v>77.095856675082985</v>
      </c>
      <c r="L23" s="13">
        <v>8.5999999999999993E-2</v>
      </c>
      <c r="M23" s="9">
        <f>L23*9.81</f>
        <v>0.84365999999999997</v>
      </c>
      <c r="N23" s="9">
        <f>M23*COS(K23*PI()/180)</f>
        <v>0.18840666157484448</v>
      </c>
      <c r="O23" s="9">
        <f>J23</f>
        <v>0.133162</v>
      </c>
      <c r="P23" s="23">
        <f>ABS(N23*O23)</f>
        <v>2.5088607868629442E-2</v>
      </c>
    </row>
    <row r="24" spans="1:16">
      <c r="A24" s="42" t="s">
        <v>39</v>
      </c>
      <c r="B24" s="43"/>
      <c r="C24" s="43"/>
      <c r="D24" s="43"/>
      <c r="E24" s="43"/>
      <c r="F24" s="43"/>
      <c r="G24" s="43"/>
      <c r="H24" s="44"/>
      <c r="I24" s="42" t="s">
        <v>44</v>
      </c>
      <c r="J24" s="43"/>
      <c r="K24" s="43"/>
      <c r="L24" s="43"/>
      <c r="M24" s="43"/>
      <c r="N24" s="43"/>
      <c r="O24" s="43"/>
      <c r="P24" s="44"/>
    </row>
    <row r="25" spans="1:16">
      <c r="A25" s="15" t="s">
        <v>0</v>
      </c>
      <c r="B25" s="16" t="s">
        <v>1</v>
      </c>
      <c r="C25" s="16" t="s">
        <v>2</v>
      </c>
      <c r="D25" s="16" t="s">
        <v>3</v>
      </c>
      <c r="E25" s="16" t="s">
        <v>4</v>
      </c>
      <c r="F25" s="16" t="s">
        <v>5</v>
      </c>
      <c r="G25" s="16" t="s">
        <v>6</v>
      </c>
      <c r="H25" s="17" t="s">
        <v>7</v>
      </c>
      <c r="I25" s="15" t="s">
        <v>0</v>
      </c>
      <c r="J25" s="16" t="s">
        <v>1</v>
      </c>
      <c r="K25" s="16" t="s">
        <v>2</v>
      </c>
      <c r="L25" s="16" t="s">
        <v>3</v>
      </c>
      <c r="M25" s="16" t="s">
        <v>4</v>
      </c>
      <c r="N25" s="16" t="s">
        <v>5</v>
      </c>
      <c r="O25" s="16" t="s">
        <v>6</v>
      </c>
      <c r="P25" s="17" t="s">
        <v>7</v>
      </c>
    </row>
    <row r="26" spans="1:16">
      <c r="A26" s="12">
        <f>(208.869-129.995)/1000</f>
        <v>7.8874E-2</v>
      </c>
      <c r="B26" s="13">
        <f>79.593/1000</f>
        <v>7.9592999999999997E-2</v>
      </c>
      <c r="C26" s="9">
        <f>ASIN(A26/B26)*(180/PI())</f>
        <v>82.292880145768521</v>
      </c>
      <c r="D26" s="13">
        <v>8.2000000000000003E-2</v>
      </c>
      <c r="E26" s="9">
        <f>D26*9.81</f>
        <v>0.80442000000000002</v>
      </c>
      <c r="F26" s="9">
        <f>E26*COS(C26*PI()/180)</f>
        <v>0.10788022628159086</v>
      </c>
      <c r="G26" s="9">
        <f>B26</f>
        <v>7.9592999999999997E-2</v>
      </c>
      <c r="H26" s="23">
        <f>ABS(F26*G26)</f>
        <v>8.5865108504306602E-3</v>
      </c>
      <c r="I26" s="12">
        <f>(238.41-129.995)/1000</f>
        <v>0.108415</v>
      </c>
      <c r="J26" s="13">
        <f>110.411/1000</f>
        <v>0.110411</v>
      </c>
      <c r="K26" s="9">
        <f>ASIN(I26/J26)*(180/PI())</f>
        <v>79.088909256231474</v>
      </c>
      <c r="L26" s="13">
        <v>8.2000000000000003E-2</v>
      </c>
      <c r="M26" s="9">
        <f>L26*9.81</f>
        <v>0.80442000000000002</v>
      </c>
      <c r="N26" s="9">
        <f>M26*COS(K26*PI()/180)</f>
        <v>0.15226505573751425</v>
      </c>
      <c r="O26" s="9">
        <f>J26</f>
        <v>0.110411</v>
      </c>
      <c r="P26" s="23">
        <f>ABS(N26*O26)</f>
        <v>1.6811737069034684E-2</v>
      </c>
    </row>
    <row r="27" spans="1:16">
      <c r="A27" s="42" t="s">
        <v>40</v>
      </c>
      <c r="B27" s="43"/>
      <c r="C27" s="43"/>
      <c r="D27" s="43"/>
      <c r="E27" s="43"/>
      <c r="F27" s="43"/>
      <c r="G27" s="43"/>
      <c r="H27" s="44"/>
      <c r="I27" s="42" t="s">
        <v>45</v>
      </c>
      <c r="J27" s="43"/>
      <c r="K27" s="43"/>
      <c r="L27" s="43"/>
      <c r="M27" s="43"/>
      <c r="N27" s="43"/>
      <c r="O27" s="43"/>
      <c r="P27" s="44"/>
    </row>
    <row r="28" spans="1:16">
      <c r="A28" s="15" t="s">
        <v>0</v>
      </c>
      <c r="B28" s="16" t="s">
        <v>1</v>
      </c>
      <c r="C28" s="16" t="s">
        <v>2</v>
      </c>
      <c r="D28" s="16" t="s">
        <v>3</v>
      </c>
      <c r="E28" s="16" t="s">
        <v>4</v>
      </c>
      <c r="F28" s="16" t="s">
        <v>5</v>
      </c>
      <c r="G28" s="16" t="s">
        <v>6</v>
      </c>
      <c r="H28" s="17" t="s">
        <v>7</v>
      </c>
      <c r="I28" s="15" t="s">
        <v>0</v>
      </c>
      <c r="J28" s="16" t="s">
        <v>1</v>
      </c>
      <c r="K28" s="16" t="s">
        <v>2</v>
      </c>
      <c r="L28" s="16" t="s">
        <v>3</v>
      </c>
      <c r="M28" s="16" t="s">
        <v>4</v>
      </c>
      <c r="N28" s="16" t="s">
        <v>5</v>
      </c>
      <c r="O28" s="16" t="s">
        <v>6</v>
      </c>
      <c r="P28" s="17" t="s">
        <v>7</v>
      </c>
    </row>
    <row r="29" spans="1:16">
      <c r="A29" s="12">
        <f>(260.884-129.995)/1000</f>
        <v>0.13088900000000001</v>
      </c>
      <c r="B29" s="13">
        <f>133.925/1000</f>
        <v>0.13392500000000002</v>
      </c>
      <c r="C29" s="9">
        <f>ASIN(A29/B29)*(180/PI())</f>
        <v>77.776894769880357</v>
      </c>
      <c r="D29" s="13">
        <v>8.6999999999999994E-2</v>
      </c>
      <c r="E29" s="9">
        <f>D29*9.81</f>
        <v>0.85346999999999995</v>
      </c>
      <c r="F29" s="9">
        <f>E29*COS(C29*PI()/180)</f>
        <v>0.18069575884211392</v>
      </c>
      <c r="G29" s="9">
        <f>B29</f>
        <v>0.13392500000000002</v>
      </c>
      <c r="H29" s="23">
        <f>ABS(F29*G29)</f>
        <v>2.4199679502930109E-2</v>
      </c>
      <c r="I29" s="12">
        <f>(219.215-129.995)/1000</f>
        <v>8.9219999999999994E-2</v>
      </c>
      <c r="J29" s="13">
        <f>107.456/1000</f>
        <v>0.10745600000000001</v>
      </c>
      <c r="K29" s="9">
        <f>ASIN(I29/J29)*(180/PI())</f>
        <v>56.128881818596909</v>
      </c>
      <c r="L29" s="13">
        <v>0.04</v>
      </c>
      <c r="M29" s="9">
        <f>L29*9.81</f>
        <v>0.39240000000000003</v>
      </c>
      <c r="N29" s="9">
        <f>M29*COS(K29*PI()/180)</f>
        <v>0.21869497478998903</v>
      </c>
      <c r="O29" s="9">
        <f>J29</f>
        <v>0.10745600000000001</v>
      </c>
      <c r="P29" s="23">
        <f>ABS(N29*O29)</f>
        <v>2.3500087211033065E-2</v>
      </c>
    </row>
    <row r="30" spans="1:16">
      <c r="A30" s="42" t="s">
        <v>41</v>
      </c>
      <c r="B30" s="43"/>
      <c r="C30" s="43"/>
      <c r="D30" s="43"/>
      <c r="E30" s="43"/>
      <c r="F30" s="43"/>
      <c r="G30" s="43"/>
      <c r="H30" s="44"/>
      <c r="I30" s="42" t="s">
        <v>46</v>
      </c>
      <c r="J30" s="43"/>
      <c r="K30" s="43"/>
      <c r="L30" s="43"/>
      <c r="M30" s="43"/>
      <c r="N30" s="43"/>
      <c r="O30" s="43"/>
      <c r="P30" s="44"/>
    </row>
    <row r="31" spans="1:16">
      <c r="A31" s="15" t="s">
        <v>0</v>
      </c>
      <c r="B31" s="16" t="s">
        <v>1</v>
      </c>
      <c r="C31" s="16" t="s">
        <v>2</v>
      </c>
      <c r="D31" s="16" t="s">
        <v>3</v>
      </c>
      <c r="E31" s="16" t="s">
        <v>4</v>
      </c>
      <c r="F31" s="16" t="s">
        <v>5</v>
      </c>
      <c r="G31" s="16" t="s">
        <v>6</v>
      </c>
      <c r="H31" s="17" t="s">
        <v>7</v>
      </c>
      <c r="I31" s="15" t="s">
        <v>0</v>
      </c>
      <c r="J31" s="16" t="s">
        <v>1</v>
      </c>
      <c r="K31" s="16" t="s">
        <v>2</v>
      </c>
      <c r="L31" s="16" t="s">
        <v>3</v>
      </c>
      <c r="M31" s="16" t="s">
        <v>4</v>
      </c>
      <c r="N31" s="16" t="s">
        <v>5</v>
      </c>
      <c r="O31" s="16" t="s">
        <v>6</v>
      </c>
      <c r="P31" s="17" t="s">
        <v>7</v>
      </c>
    </row>
    <row r="32" spans="1:16">
      <c r="A32" s="12">
        <f>(361.285-129.995)/1000</f>
        <v>0.23129000000000002</v>
      </c>
      <c r="B32" s="13">
        <f>232.29/1000</f>
        <v>0.23229</v>
      </c>
      <c r="C32" s="9">
        <f>ASIN(A32/B32)*(180/PI())</f>
        <v>84.681633059113523</v>
      </c>
      <c r="D32" s="13">
        <v>2.06</v>
      </c>
      <c r="E32" s="9">
        <f>D32*9.81</f>
        <v>20.208600000000001</v>
      </c>
      <c r="F32" s="9">
        <f>E32*COS(C32*PI()/180)</f>
        <v>1.8731306028464758</v>
      </c>
      <c r="G32" s="9">
        <f>B32</f>
        <v>0.23229</v>
      </c>
      <c r="H32" s="23">
        <f>ABS(F32*G32)</f>
        <v>0.43510950773520785</v>
      </c>
      <c r="I32" s="12">
        <f>(189.032-129.995)/1000</f>
        <v>5.9037000000000006E-2</v>
      </c>
      <c r="J32" s="13">
        <f>80.395/1000</f>
        <v>8.0394999999999994E-2</v>
      </c>
      <c r="K32" s="9">
        <f>ASIN(I32/J32)*(180/PI())</f>
        <v>47.251198855234747</v>
      </c>
      <c r="L32" s="13">
        <v>0.187</v>
      </c>
      <c r="M32" s="9">
        <f>L32*9.81</f>
        <v>1.83447</v>
      </c>
      <c r="N32" s="9">
        <f>M32*COS(K32*PI()/180)</f>
        <v>1.2452114168583035</v>
      </c>
      <c r="O32" s="9">
        <f>J32</f>
        <v>8.0394999999999994E-2</v>
      </c>
      <c r="P32" s="23">
        <f>ABS(N32*O32)</f>
        <v>0.1001087718583233</v>
      </c>
    </row>
    <row r="33" spans="1:16">
      <c r="A33" s="42" t="s">
        <v>42</v>
      </c>
      <c r="B33" s="43"/>
      <c r="C33" s="43"/>
      <c r="D33" s="43"/>
      <c r="E33" s="43"/>
      <c r="F33" s="43"/>
      <c r="G33" s="43"/>
      <c r="H33" s="44"/>
      <c r="I33" s="42" t="s">
        <v>47</v>
      </c>
      <c r="J33" s="43"/>
      <c r="K33" s="43"/>
      <c r="L33" s="43"/>
      <c r="M33" s="43"/>
      <c r="N33" s="43"/>
      <c r="O33" s="43"/>
      <c r="P33" s="44"/>
    </row>
    <row r="34" spans="1:16">
      <c r="A34" s="15" t="s">
        <v>0</v>
      </c>
      <c r="B34" s="16" t="s">
        <v>1</v>
      </c>
      <c r="C34" s="16" t="s">
        <v>2</v>
      </c>
      <c r="D34" s="16" t="s">
        <v>3</v>
      </c>
      <c r="E34" s="16" t="s">
        <v>4</v>
      </c>
      <c r="F34" s="16" t="s">
        <v>5</v>
      </c>
      <c r="G34" s="16" t="s">
        <v>6</v>
      </c>
      <c r="H34" s="17" t="s">
        <v>7</v>
      </c>
      <c r="I34" s="15" t="s">
        <v>0</v>
      </c>
      <c r="J34" s="16" t="s">
        <v>1</v>
      </c>
      <c r="K34" s="16" t="s">
        <v>2</v>
      </c>
      <c r="L34" s="16" t="s">
        <v>3</v>
      </c>
      <c r="M34" s="16" t="s">
        <v>4</v>
      </c>
      <c r="N34" s="16" t="s">
        <v>5</v>
      </c>
      <c r="O34" s="16" t="s">
        <v>6</v>
      </c>
      <c r="P34" s="17" t="s">
        <v>7</v>
      </c>
    </row>
    <row r="35" spans="1:16">
      <c r="A35" s="12">
        <f>(164.598-129.995)/1000</f>
        <v>3.4603000000000009E-2</v>
      </c>
      <c r="B35" s="13">
        <f>42.001/1000</f>
        <v>4.2000999999999997E-2</v>
      </c>
      <c r="C35" s="9">
        <f>ASIN(A35/B35)*(180/PI())</f>
        <v>55.473217556746363</v>
      </c>
      <c r="D35" s="13">
        <v>8.5999999999999993E-2</v>
      </c>
      <c r="E35" s="9">
        <f>D35*9.81</f>
        <v>0.84365999999999997</v>
      </c>
      <c r="F35" s="9">
        <f>E35*COS(C35*PI()/180)</f>
        <v>0.47817923764757897</v>
      </c>
      <c r="G35" s="9">
        <f>B35</f>
        <v>4.2000999999999997E-2</v>
      </c>
      <c r="H35" s="23">
        <f>ABS(F35*G35)</f>
        <v>2.0084006160435961E-2</v>
      </c>
      <c r="I35" s="12">
        <f>(129.995-121.314)/1000</f>
        <v>8.6810000000000116E-3</v>
      </c>
      <c r="J35" s="13">
        <f>10.129/1000</f>
        <v>1.0128999999999999E-2</v>
      </c>
      <c r="K35" s="9">
        <f>ASIN(I35/J35)*(180/PI())</f>
        <v>58.986300591999537</v>
      </c>
      <c r="L35" s="13">
        <v>8.5999999999999993E-2</v>
      </c>
      <c r="M35" s="9">
        <f>L35*9.81</f>
        <v>0.84365999999999997</v>
      </c>
      <c r="N35" s="9">
        <f>M35*COS(K35*PI()/180)</f>
        <v>0.43468991671559298</v>
      </c>
      <c r="O35" s="9">
        <f>J35</f>
        <v>1.0128999999999999E-2</v>
      </c>
      <c r="P35" s="23">
        <f>ABS(N35*O35)</f>
        <v>4.4029741664122412E-3</v>
      </c>
    </row>
    <row r="36" spans="1:16">
      <c r="A36" s="45"/>
      <c r="B36" s="46"/>
      <c r="C36" s="46"/>
      <c r="D36" s="46"/>
      <c r="E36" s="46"/>
      <c r="F36" s="46"/>
      <c r="G36" s="46"/>
      <c r="H36" s="47"/>
      <c r="I36" s="45"/>
      <c r="J36" s="46"/>
      <c r="K36" s="46"/>
      <c r="L36" s="46"/>
      <c r="M36" s="46"/>
      <c r="N36" s="46"/>
      <c r="O36" s="46"/>
      <c r="P36" s="47"/>
    </row>
    <row r="37" spans="1:16" ht="15.75" thickBot="1">
      <c r="A37" s="70" t="s">
        <v>14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2"/>
      <c r="P37" s="11">
        <f>SUM(H23+H26+H29+H32+H35+P23+P26+P29+P32+P35)</f>
        <v>0.66035810939856099</v>
      </c>
    </row>
    <row r="38" spans="1:16" ht="16.5" thickTop="1" thickBot="1"/>
    <row r="39" spans="1:16" ht="15.75" thickTop="1">
      <c r="A39" s="52" t="s">
        <v>48</v>
      </c>
      <c r="B39" s="53"/>
      <c r="C39" s="53"/>
      <c r="D39" s="53"/>
      <c r="E39" s="53"/>
      <c r="F39" s="53"/>
      <c r="G39" s="53"/>
      <c r="H39" s="54"/>
    </row>
    <row r="40" spans="1:16">
      <c r="A40" s="73" t="s">
        <v>13</v>
      </c>
      <c r="B40" s="74"/>
      <c r="C40" s="74"/>
      <c r="D40" s="74"/>
      <c r="E40" s="74"/>
      <c r="F40" s="74"/>
      <c r="G40" s="74"/>
      <c r="H40" s="75"/>
    </row>
    <row r="41" spans="1:16">
      <c r="A41" s="4" t="s">
        <v>0</v>
      </c>
      <c r="B41" s="5" t="s">
        <v>1</v>
      </c>
      <c r="C41" s="5" t="s">
        <v>2</v>
      </c>
      <c r="D41" s="5" t="s">
        <v>3</v>
      </c>
      <c r="E41" s="5" t="s">
        <v>4</v>
      </c>
      <c r="F41" s="5" t="s">
        <v>5</v>
      </c>
      <c r="G41" s="5" t="s">
        <v>6</v>
      </c>
      <c r="H41" s="6" t="s">
        <v>7</v>
      </c>
    </row>
    <row r="42" spans="1:16">
      <c r="A42" s="7">
        <v>0</v>
      </c>
      <c r="B42" s="8">
        <v>7.0000000000000007E-2</v>
      </c>
      <c r="C42" s="9">
        <f>ASIN(A42/B42)*(180/PI())</f>
        <v>0</v>
      </c>
      <c r="D42" s="8">
        <v>2.06</v>
      </c>
      <c r="E42" s="9">
        <f>D42*9.81</f>
        <v>20.208600000000001</v>
      </c>
      <c r="F42" s="9">
        <f>E42</f>
        <v>20.208600000000001</v>
      </c>
      <c r="G42" s="9">
        <f>B42</f>
        <v>7.0000000000000007E-2</v>
      </c>
      <c r="H42" s="10">
        <f>G42*F42</f>
        <v>1.4146020000000001</v>
      </c>
    </row>
    <row r="43" spans="1:16">
      <c r="A43" s="73" t="s">
        <v>25</v>
      </c>
      <c r="B43" s="74"/>
      <c r="C43" s="74"/>
      <c r="D43" s="74"/>
      <c r="E43" s="74"/>
      <c r="F43" s="74"/>
      <c r="G43" s="74"/>
      <c r="H43" s="75"/>
    </row>
    <row r="44" spans="1:16">
      <c r="A44" s="4" t="s">
        <v>0</v>
      </c>
      <c r="B44" s="5" t="s">
        <v>1</v>
      </c>
      <c r="C44" s="5" t="s">
        <v>2</v>
      </c>
      <c r="D44" s="5" t="s">
        <v>3</v>
      </c>
      <c r="E44" s="5" t="s">
        <v>4</v>
      </c>
      <c r="F44" s="5" t="s">
        <v>5</v>
      </c>
      <c r="G44" s="5" t="s">
        <v>6</v>
      </c>
      <c r="H44" s="6" t="s">
        <v>7</v>
      </c>
    </row>
    <row r="45" spans="1:16">
      <c r="A45" s="7">
        <v>0</v>
      </c>
      <c r="B45" s="8">
        <v>0.14000000000000001</v>
      </c>
      <c r="C45" s="9">
        <f>ASIN(A45/B45)*(180/PI())</f>
        <v>0</v>
      </c>
      <c r="D45" s="8">
        <v>8.2000000000000003E-2</v>
      </c>
      <c r="E45" s="9">
        <f>D45*9.81</f>
        <v>0.80442000000000002</v>
      </c>
      <c r="F45" s="9">
        <f>E45</f>
        <v>0.80442000000000002</v>
      </c>
      <c r="G45" s="9">
        <f>B45</f>
        <v>0.14000000000000001</v>
      </c>
      <c r="H45" s="10">
        <f>G45*F45</f>
        <v>0.11261880000000002</v>
      </c>
    </row>
    <row r="46" spans="1:16">
      <c r="A46" s="73" t="s">
        <v>24</v>
      </c>
      <c r="B46" s="74"/>
      <c r="C46" s="74"/>
      <c r="D46" s="74"/>
      <c r="E46" s="74"/>
      <c r="F46" s="74"/>
      <c r="G46" s="74"/>
      <c r="H46" s="75"/>
    </row>
    <row r="47" spans="1:16">
      <c r="A47" s="4" t="s">
        <v>0</v>
      </c>
      <c r="B47" s="5" t="s">
        <v>1</v>
      </c>
      <c r="C47" s="5" t="s">
        <v>2</v>
      </c>
      <c r="D47" s="5" t="s">
        <v>3</v>
      </c>
      <c r="E47" s="5" t="s">
        <v>4</v>
      </c>
      <c r="F47" s="5" t="s">
        <v>5</v>
      </c>
      <c r="G47" s="5" t="s">
        <v>6</v>
      </c>
      <c r="H47" s="6" t="s">
        <v>7</v>
      </c>
    </row>
    <row r="48" spans="1:16">
      <c r="A48" s="7">
        <v>0</v>
      </c>
      <c r="B48" s="8">
        <v>0.14000000000000001</v>
      </c>
      <c r="C48" s="9">
        <f>ASIN(A48/B48)*(180/PI())</f>
        <v>0</v>
      </c>
      <c r="D48" s="8">
        <v>0.04</v>
      </c>
      <c r="E48" s="9">
        <f>D48*9.81</f>
        <v>0.39240000000000003</v>
      </c>
      <c r="F48" s="9">
        <f>E48</f>
        <v>0.39240000000000003</v>
      </c>
      <c r="G48" s="9">
        <f>B48</f>
        <v>0.14000000000000001</v>
      </c>
      <c r="H48" s="10">
        <f>G48*F48</f>
        <v>5.4936000000000006E-2</v>
      </c>
    </row>
    <row r="49" spans="1:8">
      <c r="A49" s="73" t="s">
        <v>23</v>
      </c>
      <c r="B49" s="74"/>
      <c r="C49" s="74"/>
      <c r="D49" s="74"/>
      <c r="E49" s="74"/>
      <c r="F49" s="74"/>
      <c r="G49" s="74"/>
      <c r="H49" s="75"/>
    </row>
    <row r="50" spans="1:8">
      <c r="A50" s="4" t="s">
        <v>0</v>
      </c>
      <c r="B50" s="5" t="s">
        <v>1</v>
      </c>
      <c r="C50" s="5" t="s">
        <v>2</v>
      </c>
      <c r="D50" s="5" t="s">
        <v>3</v>
      </c>
      <c r="E50" s="5" t="s">
        <v>4</v>
      </c>
      <c r="F50" s="5" t="s">
        <v>5</v>
      </c>
      <c r="G50" s="5" t="s">
        <v>6</v>
      </c>
      <c r="H50" s="6" t="s">
        <v>7</v>
      </c>
    </row>
    <row r="51" spans="1:8">
      <c r="A51" s="7">
        <v>0</v>
      </c>
      <c r="B51" s="8">
        <v>0.14000000000000001</v>
      </c>
      <c r="C51" s="9">
        <f>ASIN(A51/B51)*(180/PI())</f>
        <v>0</v>
      </c>
      <c r="D51" s="8">
        <v>0.187</v>
      </c>
      <c r="E51" s="9">
        <f>D51*9.81</f>
        <v>1.83447</v>
      </c>
      <c r="F51" s="9">
        <f>E51</f>
        <v>1.83447</v>
      </c>
      <c r="G51" s="9">
        <f>B51</f>
        <v>0.14000000000000001</v>
      </c>
      <c r="H51" s="10">
        <f>G51*F51</f>
        <v>0.25682580000000005</v>
      </c>
    </row>
    <row r="52" spans="1:8">
      <c r="A52" s="73" t="s">
        <v>28</v>
      </c>
      <c r="B52" s="74"/>
      <c r="C52" s="74"/>
      <c r="D52" s="74"/>
      <c r="E52" s="74"/>
      <c r="F52" s="74"/>
      <c r="G52" s="74"/>
      <c r="H52" s="75"/>
    </row>
    <row r="53" spans="1:8">
      <c r="A53" s="4" t="s">
        <v>0</v>
      </c>
      <c r="B53" s="5" t="s">
        <v>1</v>
      </c>
      <c r="C53" s="5" t="s">
        <v>2</v>
      </c>
      <c r="D53" s="5" t="s">
        <v>3</v>
      </c>
      <c r="E53" s="5" t="s">
        <v>4</v>
      </c>
      <c r="F53" s="5" t="s">
        <v>5</v>
      </c>
      <c r="G53" s="5" t="s">
        <v>6</v>
      </c>
      <c r="H53" s="6" t="s">
        <v>7</v>
      </c>
    </row>
    <row r="54" spans="1:8">
      <c r="A54" s="7">
        <v>0</v>
      </c>
      <c r="B54" s="8">
        <v>0.14000000000000001</v>
      </c>
      <c r="C54" s="9">
        <f>ASIN(A54/B54)*(180/PI())</f>
        <v>0</v>
      </c>
      <c r="D54" s="8">
        <v>8.5999999999999993E-2</v>
      </c>
      <c r="E54" s="9">
        <f>D54*9.81</f>
        <v>0.84365999999999997</v>
      </c>
      <c r="F54" s="9">
        <f>E54</f>
        <v>0.84365999999999997</v>
      </c>
      <c r="G54" s="9">
        <f>B54</f>
        <v>0.14000000000000001</v>
      </c>
      <c r="H54" s="10">
        <f>G54*F54</f>
        <v>0.11811240000000001</v>
      </c>
    </row>
    <row r="55" spans="1:8">
      <c r="A55" s="73" t="s">
        <v>27</v>
      </c>
      <c r="B55" s="74"/>
      <c r="C55" s="74"/>
      <c r="D55" s="74"/>
      <c r="E55" s="74"/>
      <c r="F55" s="74"/>
      <c r="G55" s="74"/>
      <c r="H55" s="75"/>
    </row>
    <row r="56" spans="1:8">
      <c r="A56" s="4" t="s">
        <v>0</v>
      </c>
      <c r="B56" s="5" t="s">
        <v>1</v>
      </c>
      <c r="C56" s="5" t="s">
        <v>2</v>
      </c>
      <c r="D56" s="5" t="s">
        <v>3</v>
      </c>
      <c r="E56" s="5" t="s">
        <v>4</v>
      </c>
      <c r="F56" s="5" t="s">
        <v>5</v>
      </c>
      <c r="G56" s="5" t="s">
        <v>6</v>
      </c>
      <c r="H56" s="6" t="s">
        <v>7</v>
      </c>
    </row>
    <row r="57" spans="1:8">
      <c r="A57" s="7">
        <v>0</v>
      </c>
      <c r="B57" s="8">
        <v>0.14000000000000001</v>
      </c>
      <c r="C57" s="9">
        <f>ASIN(A57/B57)*(180/PI())</f>
        <v>0</v>
      </c>
      <c r="D57" s="8">
        <v>8.5999999999999993E-2</v>
      </c>
      <c r="E57" s="9">
        <f>D57*9.81</f>
        <v>0.84365999999999997</v>
      </c>
      <c r="F57" s="9">
        <f>E57</f>
        <v>0.84365999999999997</v>
      </c>
      <c r="G57" s="9">
        <f>B57</f>
        <v>0.14000000000000001</v>
      </c>
      <c r="H57" s="10">
        <f>G57*F57</f>
        <v>0.11811240000000001</v>
      </c>
    </row>
    <row r="58" spans="1:8">
      <c r="A58" s="76"/>
      <c r="B58" s="77"/>
      <c r="C58" s="77"/>
      <c r="D58" s="77"/>
      <c r="E58" s="77"/>
      <c r="F58" s="77"/>
      <c r="G58" s="77"/>
      <c r="H58" s="78"/>
    </row>
    <row r="59" spans="1:8" ht="15.75" thickBot="1">
      <c r="A59" s="79" t="s">
        <v>14</v>
      </c>
      <c r="B59" s="80"/>
      <c r="C59" s="80"/>
      <c r="D59" s="80"/>
      <c r="E59" s="80"/>
      <c r="F59" s="80"/>
      <c r="G59" s="80"/>
      <c r="H59" s="11">
        <f>SUM(H42+H45+H48+H51+H54+H57)</f>
        <v>2.0752074000000005</v>
      </c>
    </row>
    <row r="60" spans="1:8" ht="15.75" thickTop="1"/>
  </sheetData>
  <mergeCells count="36">
    <mergeCell ref="A8:H8"/>
    <mergeCell ref="I8:P8"/>
    <mergeCell ref="A1:P1"/>
    <mergeCell ref="A2:H2"/>
    <mergeCell ref="I2:P2"/>
    <mergeCell ref="A5:H5"/>
    <mergeCell ref="I5:P5"/>
    <mergeCell ref="A11:H11"/>
    <mergeCell ref="I11:P11"/>
    <mergeCell ref="A14:H14"/>
    <mergeCell ref="A17:P17"/>
    <mergeCell ref="A18:O18"/>
    <mergeCell ref="I36:P36"/>
    <mergeCell ref="A20:P20"/>
    <mergeCell ref="A21:H21"/>
    <mergeCell ref="I21:P21"/>
    <mergeCell ref="A24:H24"/>
    <mergeCell ref="I24:P24"/>
    <mergeCell ref="A27:H27"/>
    <mergeCell ref="I27:P27"/>
    <mergeCell ref="A52:H52"/>
    <mergeCell ref="A55:H55"/>
    <mergeCell ref="A58:H58"/>
    <mergeCell ref="A59:G59"/>
    <mergeCell ref="I14:P16"/>
    <mergeCell ref="A37:O37"/>
    <mergeCell ref="A39:H39"/>
    <mergeCell ref="A40:H40"/>
    <mergeCell ref="A43:H43"/>
    <mergeCell ref="A46:H46"/>
    <mergeCell ref="A49:H49"/>
    <mergeCell ref="A30:H30"/>
    <mergeCell ref="I30:P30"/>
    <mergeCell ref="A33:H33"/>
    <mergeCell ref="I33:P33"/>
    <mergeCell ref="A36:H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9</vt:i4>
      </vt:variant>
    </vt:vector>
  </HeadingPairs>
  <TitlesOfParts>
    <vt:vector size="9" baseType="lpstr">
      <vt:lpstr>1ªPosição</vt:lpstr>
      <vt:lpstr>2ªPosição</vt:lpstr>
      <vt:lpstr>3ªPosição</vt:lpstr>
      <vt:lpstr>4ªPosição</vt:lpstr>
      <vt:lpstr>5ªPosição</vt:lpstr>
      <vt:lpstr>6ªPosição</vt:lpstr>
      <vt:lpstr>7ªPosição</vt:lpstr>
      <vt:lpstr>8ªPosição</vt:lpstr>
      <vt:lpstr>9ªPosição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2006-10-20T13:27:00Z</dcterms:created>
  <dcterms:modified xsi:type="dcterms:W3CDTF">2009-03-13T15:00:22Z</dcterms:modified>
</cp:coreProperties>
</file>